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https://cefetrjbr-my.sharepoint.com/personal/11632359707_cefet-rj_br/Documents/Processos de compra 2024/AEE/Planilha/"/>
    </mc:Choice>
  </mc:AlternateContent>
  <xr:revisionPtr revIDLastSave="819" documentId="8_{8CDCE0AB-230A-4E63-B3AD-1C7A448AC4CF}" xr6:coauthVersionLast="47" xr6:coauthVersionMax="47" xr10:uidLastSave="{6341FCCA-39B5-41EC-AF24-A03317D16752}"/>
  <bookViews>
    <workbookView xWindow="-120" yWindow="-120" windowWidth="20730" windowHeight="11160" tabRatio="942" firstSheet="4" activeTab="4" xr2:uid="{00000000-000D-0000-FFFF-FFFF00000000}"/>
  </bookViews>
  <sheets>
    <sheet name="Modelo Planilha" sheetId="13" state="hidden" r:id="rId1"/>
    <sheet name="Memória de Cálculo" sheetId="14" state="hidden" r:id="rId2"/>
    <sheet name="Modelo Planilha (2)" sheetId="15" state="hidden" r:id="rId3"/>
    <sheet name="Modelo Planilha (3)" sheetId="16" state="hidden" r:id="rId4"/>
    <sheet name="Modelo Planilha após parecer" sheetId="23" r:id="rId5"/>
    <sheet name="Memoria de cálculo revisada" sheetId="22" r:id="rId6"/>
    <sheet name="Uniformes" sheetId="18" r:id="rId7"/>
  </sheet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4" i="23" l="1"/>
  <c r="C158" i="23" s="1"/>
  <c r="C142" i="23"/>
  <c r="C146" i="23" s="1"/>
  <c r="C169" i="23" s="1"/>
  <c r="C135" i="23"/>
  <c r="C83" i="23"/>
  <c r="C93" i="23" s="1"/>
  <c r="C68" i="23"/>
  <c r="C51" i="23"/>
  <c r="C50" i="23"/>
  <c r="C49" i="23"/>
  <c r="C52" i="23" s="1"/>
  <c r="C91" i="23" s="1"/>
  <c r="C41" i="23"/>
  <c r="D67" i="23" l="1"/>
  <c r="D60" i="23"/>
  <c r="D64" i="23"/>
  <c r="D61" i="23"/>
  <c r="D65" i="23"/>
  <c r="D62" i="23"/>
  <c r="D66" i="23"/>
  <c r="C165" i="23"/>
  <c r="D63" i="23"/>
  <c r="D68" i="23" l="1"/>
  <c r="C92" i="23" s="1"/>
  <c r="C94" i="23" s="1"/>
  <c r="C104" i="23"/>
  <c r="C103" i="23" s="1"/>
  <c r="C102" i="23"/>
  <c r="C101" i="23"/>
  <c r="C100" i="23" s="1"/>
  <c r="C105" i="23" s="1"/>
  <c r="C167" i="23" s="1"/>
  <c r="C166" i="23" l="1"/>
  <c r="B122" i="23"/>
  <c r="F5" i="18"/>
  <c r="G5" i="18" s="1"/>
  <c r="F4" i="18"/>
  <c r="G4" i="18" s="1"/>
  <c r="G3" i="18"/>
  <c r="F3" i="18"/>
  <c r="D117" i="23" l="1"/>
  <c r="D120" i="23"/>
  <c r="D116" i="23"/>
  <c r="D119" i="23"/>
  <c r="D115" i="23"/>
  <c r="D121" i="23" s="1"/>
  <c r="C134" i="23" s="1"/>
  <c r="C136" i="23" s="1"/>
  <c r="C168" i="23" s="1"/>
  <c r="C170" i="23" s="1"/>
  <c r="D118" i="23"/>
  <c r="F6" i="18"/>
  <c r="G6" i="18"/>
  <c r="G7" i="18" s="1"/>
  <c r="D157" i="23" l="1"/>
  <c r="D153" i="23"/>
  <c r="D152" i="23"/>
  <c r="D155" i="23"/>
  <c r="D156" i="23" l="1"/>
  <c r="D158" i="23" s="1"/>
  <c r="C171" i="23" s="1"/>
  <c r="C172" i="23" s="1"/>
  <c r="C178" i="23" s="1"/>
  <c r="E178" i="23" s="1"/>
  <c r="C184" i="23" l="1"/>
  <c r="G178" i="23"/>
  <c r="C185" i="23" s="1"/>
  <c r="C186" i="23" s="1"/>
  <c r="B178" i="16" l="1"/>
  <c r="C169" i="16"/>
  <c r="C165" i="16"/>
  <c r="C158" i="16"/>
  <c r="C146" i="16"/>
  <c r="C135" i="16"/>
  <c r="C77" i="16"/>
  <c r="C68" i="16"/>
  <c r="C51" i="16"/>
  <c r="C50" i="16"/>
  <c r="C49" i="16"/>
  <c r="C52" i="16" s="1"/>
  <c r="C41" i="16"/>
  <c r="C77" i="15"/>
  <c r="C76" i="15"/>
  <c r="B178" i="15"/>
  <c r="C158" i="15"/>
  <c r="C146" i="15"/>
  <c r="C169" i="15" s="1"/>
  <c r="C135" i="15"/>
  <c r="C68" i="15"/>
  <c r="C50" i="15"/>
  <c r="C34" i="14"/>
  <c r="D65" i="16" l="1"/>
  <c r="D61" i="16"/>
  <c r="C91" i="16"/>
  <c r="D64" i="16"/>
  <c r="D60" i="16"/>
  <c r="D62" i="16"/>
  <c r="D66" i="16"/>
  <c r="C76" i="16"/>
  <c r="C83" i="16" s="1"/>
  <c r="C93" i="16" s="1"/>
  <c r="C100" i="16" s="1"/>
  <c r="C101" i="16"/>
  <c r="D63" i="16"/>
  <c r="D67" i="16"/>
  <c r="C51" i="15"/>
  <c r="C41" i="15"/>
  <c r="C49" i="15"/>
  <c r="B178" i="14"/>
  <c r="C158" i="14"/>
  <c r="C144" i="14"/>
  <c r="C146" i="14" s="1"/>
  <c r="C169" i="14" s="1"/>
  <c r="C135" i="14"/>
  <c r="C82" i="14"/>
  <c r="C81" i="14"/>
  <c r="C77" i="14"/>
  <c r="C68" i="14"/>
  <c r="C49" i="14"/>
  <c r="B178" i="13"/>
  <c r="C158" i="13"/>
  <c r="C144" i="13"/>
  <c r="C146" i="13" s="1"/>
  <c r="C169" i="13" s="1"/>
  <c r="C135" i="13"/>
  <c r="C82" i="13"/>
  <c r="C81" i="13"/>
  <c r="C77" i="13"/>
  <c r="C68" i="13"/>
  <c r="C34" i="13"/>
  <c r="C49" i="13" s="1"/>
  <c r="C102" i="16" l="1"/>
  <c r="C105" i="16"/>
  <c r="D68" i="16"/>
  <c r="C92" i="16" s="1"/>
  <c r="C94" i="16" s="1"/>
  <c r="C83" i="15"/>
  <c r="C93" i="15" s="1"/>
  <c r="C100" i="15" s="1"/>
  <c r="C165" i="15"/>
  <c r="C101" i="15"/>
  <c r="C52" i="15"/>
  <c r="C91" i="15" s="1"/>
  <c r="C50" i="14"/>
  <c r="C41" i="14"/>
  <c r="C165" i="14" s="1"/>
  <c r="C51" i="14"/>
  <c r="C41" i="13"/>
  <c r="C51" i="13"/>
  <c r="C50" i="13"/>
  <c r="C52" i="13" s="1"/>
  <c r="C91" i="13" s="1"/>
  <c r="C166" i="16" l="1"/>
  <c r="D64" i="15"/>
  <c r="D66" i="15"/>
  <c r="D63" i="15"/>
  <c r="D67" i="15"/>
  <c r="D65" i="15"/>
  <c r="D61" i="15"/>
  <c r="D60" i="15"/>
  <c r="D62" i="15"/>
  <c r="C76" i="14"/>
  <c r="C52" i="14"/>
  <c r="D65" i="14" s="1"/>
  <c r="C101" i="14"/>
  <c r="C80" i="14"/>
  <c r="D63" i="14"/>
  <c r="D62" i="14"/>
  <c r="D67" i="14"/>
  <c r="D64" i="14"/>
  <c r="C80" i="13"/>
  <c r="D64" i="13"/>
  <c r="D60" i="13"/>
  <c r="C165" i="13"/>
  <c r="C101" i="13"/>
  <c r="D65" i="13"/>
  <c r="D61" i="13"/>
  <c r="C76" i="13"/>
  <c r="C83" i="13" s="1"/>
  <c r="C93" i="13" s="1"/>
  <c r="C100" i="13" s="1"/>
  <c r="D66" i="13"/>
  <c r="D62" i="13"/>
  <c r="D67" i="13"/>
  <c r="D63" i="13"/>
  <c r="C106" i="16" l="1"/>
  <c r="D68" i="15"/>
  <c r="C92" i="15" s="1"/>
  <c r="C94" i="15" s="1"/>
  <c r="C105" i="15"/>
  <c r="C102" i="15"/>
  <c r="C91" i="14"/>
  <c r="C83" i="14"/>
  <c r="C93" i="14" s="1"/>
  <c r="C100" i="14" s="1"/>
  <c r="D66" i="14"/>
  <c r="D61" i="14"/>
  <c r="D60" i="14"/>
  <c r="C105" i="14"/>
  <c r="C102" i="14"/>
  <c r="D68" i="13"/>
  <c r="C92" i="13" s="1"/>
  <c r="C94" i="13" s="1"/>
  <c r="C105" i="13"/>
  <c r="C102" i="13"/>
  <c r="C167" i="16" l="1"/>
  <c r="C120" i="16"/>
  <c r="C116" i="16"/>
  <c r="C117" i="16"/>
  <c r="C119" i="16"/>
  <c r="C115" i="16"/>
  <c r="C118" i="16"/>
  <c r="C166" i="15"/>
  <c r="C103" i="15"/>
  <c r="C104" i="15" s="1"/>
  <c r="D68" i="14"/>
  <c r="C92" i="14" s="1"/>
  <c r="C94" i="14"/>
  <c r="C166" i="14"/>
  <c r="C103" i="14"/>
  <c r="C104" i="14" s="1"/>
  <c r="C106" i="14" s="1"/>
  <c r="C166" i="13"/>
  <c r="C103" i="13"/>
  <c r="C104" i="13" s="1"/>
  <c r="C121" i="16" l="1"/>
  <c r="C134" i="16" s="1"/>
  <c r="C136" i="16" s="1"/>
  <c r="C168" i="16" s="1"/>
  <c r="C170" i="16" s="1"/>
  <c r="C106" i="15"/>
  <c r="C167" i="14"/>
  <c r="C117" i="14"/>
  <c r="C115" i="14"/>
  <c r="C119" i="14"/>
  <c r="C120" i="14"/>
  <c r="C116" i="14"/>
  <c r="C118" i="14"/>
  <c r="C106" i="13"/>
  <c r="D152" i="16" l="1"/>
  <c r="D157" i="16" s="1"/>
  <c r="C167" i="15"/>
  <c r="C116" i="15"/>
  <c r="C117" i="15"/>
  <c r="C120" i="15"/>
  <c r="C119" i="15"/>
  <c r="C118" i="15"/>
  <c r="C115" i="15"/>
  <c r="C121" i="14"/>
  <c r="C134" i="14" s="1"/>
  <c r="C136" i="14" s="1"/>
  <c r="C168" i="14" s="1"/>
  <c r="C170" i="14" s="1"/>
  <c r="C167" i="13"/>
  <c r="C116" i="13"/>
  <c r="C119" i="13"/>
  <c r="C118" i="13"/>
  <c r="C120" i="13"/>
  <c r="C117" i="13"/>
  <c r="C115" i="13"/>
  <c r="D153" i="16" l="1"/>
  <c r="D158" i="16" s="1"/>
  <c r="C171" i="16" s="1"/>
  <c r="C172" i="16" s="1"/>
  <c r="C178" i="16" s="1"/>
  <c r="E178" i="16" s="1"/>
  <c r="D155" i="16"/>
  <c r="C121" i="15"/>
  <c r="C134" i="15" s="1"/>
  <c r="C136" i="15" s="1"/>
  <c r="C168" i="15" s="1"/>
  <c r="C170" i="15" s="1"/>
  <c r="C121" i="13"/>
  <c r="C134" i="13" s="1"/>
  <c r="C136" i="13" s="1"/>
  <c r="C168" i="13" s="1"/>
  <c r="C170" i="13" s="1"/>
  <c r="D152" i="14"/>
  <c r="D152" i="13"/>
  <c r="D157" i="13" s="1"/>
  <c r="G178" i="16" l="1"/>
  <c r="C185" i="16" s="1"/>
  <c r="C186" i="16" s="1"/>
  <c r="C184" i="16"/>
  <c r="D152" i="15"/>
  <c r="D155" i="15" s="1"/>
  <c r="D153" i="14"/>
  <c r="D155" i="14"/>
  <c r="D157" i="14"/>
  <c r="D153" i="13"/>
  <c r="D155" i="13"/>
  <c r="D157" i="15" l="1"/>
  <c r="D153" i="15"/>
  <c r="D158" i="13"/>
  <c r="C171" i="13" s="1"/>
  <c r="C172" i="13" s="1"/>
  <c r="C178" i="13" s="1"/>
  <c r="E178" i="13" s="1"/>
  <c r="D158" i="14"/>
  <c r="C171" i="14" s="1"/>
  <c r="C172" i="14" s="1"/>
  <c r="C178" i="14" s="1"/>
  <c r="E178" i="14" s="1"/>
  <c r="G178" i="14" s="1"/>
  <c r="C185" i="14" s="1"/>
  <c r="C186" i="14" s="1"/>
  <c r="G178" i="13"/>
  <c r="C185" i="13" s="1"/>
  <c r="C186" i="13" s="1"/>
  <c r="C184" i="13"/>
  <c r="D158" i="15" l="1"/>
  <c r="C171" i="15" s="1"/>
  <c r="C172" i="15" s="1"/>
  <c r="C178" i="15" s="1"/>
  <c r="E178" i="15" s="1"/>
  <c r="C184" i="15" s="1"/>
  <c r="C184" i="14"/>
  <c r="G178" i="15" l="1"/>
  <c r="C185" i="15" s="1"/>
  <c r="C186" i="15" s="1"/>
</calcChain>
</file>

<file path=xl/sharedStrings.xml><?xml version="1.0" encoding="utf-8"?>
<sst xmlns="http://schemas.openxmlformats.org/spreadsheetml/2006/main" count="1351" uniqueCount="260">
  <si>
    <t>PLANILHA DE CUSTOS E FORMAÇÃO DE PREÇOS</t>
  </si>
  <si>
    <t>MODELO PARA A CONSOLIDAÇÃO E APRESENTAÇÃO DE PROPOSTAS</t>
  </si>
  <si>
    <t>Nº Processo</t>
  </si>
  <si>
    <t>Módulo 1 - Composição da Remuneração</t>
  </si>
  <si>
    <t>Composição da Remuneração</t>
  </si>
  <si>
    <t>Valor (R$)</t>
  </si>
  <si>
    <t>A</t>
  </si>
  <si>
    <t>Salário-Base</t>
  </si>
  <si>
    <t>B</t>
  </si>
  <si>
    <t>Adicional de Periculosidade</t>
  </si>
  <si>
    <t>C</t>
  </si>
  <si>
    <t>Adicional de Insalubridade</t>
  </si>
  <si>
    <t>D</t>
  </si>
  <si>
    <t>Adicional Noturno</t>
  </si>
  <si>
    <t>E</t>
  </si>
  <si>
    <t>Adicional de Hora Noturna Reduzida</t>
  </si>
  <si>
    <t>G</t>
  </si>
  <si>
    <t>Outros (especificar)</t>
  </si>
  <si>
    <t>Total</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</si>
  <si>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</si>
  <si>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</si>
  <si>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</si>
  <si>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</si>
  <si>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</si>
  <si>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 xml:space="preserve">Férias </t>
  </si>
  <si>
    <t>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</si>
  <si>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</si>
  <si>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</si>
  <si>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</si>
  <si>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</si>
  <si>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</si>
  <si>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</si>
  <si>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</si>
  <si>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</si>
  <si>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</si>
  <si>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F</t>
  </si>
  <si>
    <t>SEBRAE</t>
  </si>
  <si>
    <t>INCRA</t>
  </si>
  <si>
    <t>H</t>
  </si>
  <si>
    <t>FGTS</t>
  </si>
  <si>
    <t xml:space="preserve">Total </t>
  </si>
  <si>
    <t>Submódulo 2.3 - Benefícios Mensais e Diários.</t>
  </si>
  <si>
    <t>2.3</t>
  </si>
  <si>
    <t>Benefícios Mensais e Diários</t>
  </si>
  <si>
    <t>Transporte</t>
  </si>
  <si>
    <t>Auxílio-Refeição/Alimentação</t>
  </si>
  <si>
    <t>Seguro de vida, invalidez e funeral</t>
  </si>
  <si>
    <t>Benefício de Assistência ao Trabalhador</t>
  </si>
  <si>
    <t>Adicional de assiduidade</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</si>
  <si>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</si>
  <si>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</si>
  <si>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</si>
  <si>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</si>
  <si>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</si>
  <si>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</si>
  <si>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Aviso Prévio Trabalhado</t>
  </si>
  <si>
    <t>Incidência dos encargos do submódulo 2.2 sobre o Aviso Prévio Trabalhado</t>
  </si>
  <si>
    <t>Módulo 4 - Custo de Reposição do Profissional Ausente</t>
  </si>
  <si>
    <t>4.1</t>
  </si>
  <si>
    <t>Ausências Legais</t>
  </si>
  <si>
    <t>4.2</t>
  </si>
  <si>
    <t>Intrajornada</t>
  </si>
  <si>
    <t>Quadro-Resumo do Módulo 4 - Custo de Reposição do Profissional Ausente</t>
  </si>
  <si>
    <t>Custo de Reposição do Profissional Ausente</t>
  </si>
  <si>
    <t>Módulo 5 - Insumos Diversos</t>
  </si>
  <si>
    <t>Insumos Diversos</t>
  </si>
  <si>
    <t>Uniformes</t>
  </si>
  <si>
    <t>Materiais</t>
  </si>
  <si>
    <t>Módulo 6 - Custos Indiretos, Tributos e Lucro</t>
  </si>
  <si>
    <t>Custos Indiretos, Tributos e Lucro</t>
  </si>
  <si>
    <t>Custos Indiretos</t>
  </si>
  <si>
    <t>Lucro</t>
  </si>
  <si>
    <t>Tributos</t>
  </si>
  <si>
    <t>C.2. Tributos Estaduais (especificar)</t>
  </si>
  <si>
    <t>C.3. Tributos Municipais (ISSQN)</t>
  </si>
  <si>
    <t>2. QUADRO-RESUMO DO CUSTO POR EMPREGADO</t>
  </si>
  <si>
    <t>Mão de obra vinculada à execução contratual (valor por empregado)</t>
  </si>
  <si>
    <t>Subtotal (A + B +C+ D+E)</t>
  </si>
  <si>
    <t>Módulo 6 – Custos Indiretos, Tributos e Lucro</t>
  </si>
  <si>
    <t xml:space="preserve">Valor Total por Empregado </t>
  </si>
  <si>
    <t>Discriminação dos Serviços (dados referentes à contratação)</t>
  </si>
  <si>
    <t>Data de apresentação da Proposta (dia/mês/ano)</t>
  </si>
  <si>
    <t>Município/UF</t>
  </si>
  <si>
    <t>Ano Acordo, Convenção ou Sentença Normativa em Dissídio Coletivo</t>
  </si>
  <si>
    <t>Tipo de Serviço</t>
  </si>
  <si>
    <t>Unidade de Medida</t>
  </si>
  <si>
    <t>Posto</t>
  </si>
  <si>
    <t>Licitação Nº:</t>
  </si>
  <si>
    <t>Dia</t>
  </si>
  <si>
    <t>Número de meses de execução contratual</t>
  </si>
  <si>
    <t>12 meses</t>
  </si>
  <si>
    <t>Identificação do Serviços</t>
  </si>
  <si>
    <t>Quantidade total a contratar (Em função da unidade de medida)</t>
  </si>
  <si>
    <t>Contínuo</t>
  </si>
  <si>
    <r>
      <rPr>
        <b/>
        <sz val="12"/>
        <rFont val="Times New Roman"/>
        <family val="1"/>
      </rPr>
      <t>Nota 1</t>
    </r>
    <r>
      <rPr>
        <sz val="12"/>
        <rFont val="Times New Roman"/>
        <family val="1"/>
      </rPr>
      <t>: Esta tabela poderá ser adaptada às características do serviço contratado, inclusive no que concerne às rubricas e suas respectivas provisões e/ou estimativas, desde que haja justificativa.</t>
    </r>
  </si>
  <si>
    <t>1. MÓDULOS</t>
  </si>
  <si>
    <t>Salário Normativo da Categoria Profissional</t>
  </si>
  <si>
    <t>Mão de obra</t>
  </si>
  <si>
    <t>Mão de obra vinculada à execução contratual</t>
  </si>
  <si>
    <t>Dados para composição dos custos referentes a mão de obra</t>
  </si>
  <si>
    <t>Tipo de Serviço (mesmo serviço com características distintas)</t>
  </si>
  <si>
    <t>Classificação Brasileira de Ocupações (CBO)</t>
  </si>
  <si>
    <t>Caterigoria Profissional (vinculada à execução contratual)</t>
  </si>
  <si>
    <t>Data-Base da Categoria (dia/mês/ano)</t>
  </si>
  <si>
    <t>Nota 1: O Módulo 1 refere-se ao valor mensal devido ao empregado pela prestação do serviço no período de 12 meses.</t>
  </si>
  <si>
    <r>
      <t>Nota 1</t>
    </r>
    <r>
      <rPr>
        <sz val="12"/>
        <color theme="1"/>
        <rFont val="Times New Roman"/>
        <family val="1"/>
      </rPr>
      <t>: Como a planilha de custos e formação de preços é calculada mensalmente, provisiona-se proporcionalmente 1/12 (um doze avos) dos valores referentes a gratificação natalina, férias e adicional de férias.</t>
    </r>
  </si>
  <si>
    <t>Nota 2: O adicional de férias contido no Submódulo 2.1 corresponde a 1/3 (um terço) da remuneração que por sua vez é divido por 12 (doze) conforme Nota 1 acima.</t>
  </si>
  <si>
    <t xml:space="preserve">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</si>
  <si>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</si>
  <si>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</si>
  <si>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Nota 3: Esses percentuais incidem sobre o Módulo 1, o Submódulo 2.1.</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</si>
  <si>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</si>
  <si>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</si>
  <si>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Nota 1: Os itens que contemplam o módulo 4 se referem ao custo dos dias trabalhados pelo repositor/substituto, quando o empregado alocado na prestação de serviço estiver ausente, conforme as previsões estabelecidas na legislação.</t>
  </si>
  <si>
    <t>Submódulo 4.1 - 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</si>
  <si>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</si>
  <si>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</si>
  <si>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</si>
  <si>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</si>
  <si>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</si>
  <si>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 xml:space="preserve">Submódulo 4.2 - Substituto na Intrajornada </t>
  </si>
  <si>
    <t>Substituto na cobertura de Intervalo para repouso ou alimentação</t>
  </si>
  <si>
    <t>Substituto nas Ausências Legais</t>
  </si>
  <si>
    <t>Substituto  na Intrajornada</t>
  </si>
  <si>
    <t>Nota: Valores mensais por empregado.</t>
  </si>
  <si>
    <t>Nota 1: Custos Indiretos, Tributos e Lucro por empregado.</t>
  </si>
  <si>
    <t>Nota 2: O valor referente a tributos é obtido aplicando-se o percentual sobre o valor do faturamento.</t>
  </si>
  <si>
    <t>3. QUADRO-RESUMO DO VALOR MENSAL DOS SERVIÇOS</t>
  </si>
  <si>
    <t>Tipo de Serviço (A)</t>
  </si>
  <si>
    <t>I</t>
  </si>
  <si>
    <t>Valor Proposto por Empregado (B)</t>
  </si>
  <si>
    <t xml:space="preserve">Quantidade de empregados por posto (C) </t>
  </si>
  <si>
    <t>Valor Proposto por Posto (D) = (B x C)</t>
  </si>
  <si>
    <t>Quantidade de Postos (E)</t>
  </si>
  <si>
    <t>Valor Total do Serviço (F) = (D x E)</t>
  </si>
  <si>
    <t>4. QUADRO DEMONSTRATIVO DO VALOR GLOBAL DA PROPOSTA</t>
  </si>
  <si>
    <t>Descrição</t>
  </si>
  <si>
    <t>Valor proposto por unidade de medida</t>
  </si>
  <si>
    <t>Valor mensal do serviço</t>
  </si>
  <si>
    <t>Valor global da proposta (valor mensal do serviço multiplicado pelo número de meses do contrato)</t>
  </si>
  <si>
    <t>Nota: Informar o valor da unidade de medida por tipo de serviço.</t>
  </si>
  <si>
    <t>10263.102128/2020-21</t>
  </si>
  <si>
    <t>Número do Registro no ME (antigo MTE)- (http://www3.mte.gov.br/sistemas/mediador/).</t>
  </si>
  <si>
    <t>Diárias por pernoite (estimada 7 (sete) diárias por pernoite por mês - R$ 140,00)</t>
  </si>
  <si>
    <t>Pagamento pelo Fato Gerador - alínea "a" do Inciso V do Art. 8º - Decreto Nº 9.507, de 21 de setembro de 2018 .</t>
  </si>
  <si>
    <t>Equipamentos (smartphone pré pago)</t>
  </si>
  <si>
    <t>C.1. Tributos Federais (PIS e Cofins)</t>
  </si>
  <si>
    <t>Exame Toxicológico ( estimado dois por ano)</t>
  </si>
  <si>
    <t>Multa do FGTS sobre o Aviso Prévio Indenizado</t>
  </si>
  <si>
    <t>Multa do FGTS sobre o Aviso Prévio Trabalhado</t>
  </si>
  <si>
    <t>Informações Gerais</t>
  </si>
  <si>
    <t>b) Foi adotado como padrão 22 (vinte e dois) dias úteis.</t>
  </si>
  <si>
    <t>Metologia e memória de cálculo</t>
  </si>
  <si>
    <t>e) Observar que a Administração não arcará com os equívocos de dimensionamento apresentados na proposta, consoante art. 63 da IN n° 5, de 2017.</t>
  </si>
  <si>
    <t>f) Pagamento pelo Fato Gerador.</t>
  </si>
  <si>
    <t>SC000152/2021</t>
  </si>
  <si>
    <t>Substituto na cobertura de Outras ausências (atestado de saúde)</t>
  </si>
  <si>
    <t>Motorista - CNH "d"</t>
  </si>
  <si>
    <t>7823-05</t>
  </si>
  <si>
    <t>Motorista</t>
  </si>
  <si>
    <t>1º de janeiro</t>
  </si>
  <si>
    <t>xx/2021</t>
  </si>
  <si>
    <t>_____/_______/ 2021</t>
  </si>
  <si>
    <t>Nota 3: O valor referente a diárias por pernoite não deve ser alterado.</t>
  </si>
  <si>
    <t>%</t>
  </si>
  <si>
    <t>Memória de Cálculo</t>
  </si>
  <si>
    <t>Fundamento</t>
  </si>
  <si>
    <t>MODELO PARA A MEMÓRIA DE CÁLCULO</t>
  </si>
  <si>
    <t>Município/UF da prestação do serviço</t>
  </si>
  <si>
    <t>Valença - RJ</t>
  </si>
  <si>
    <t>Atendimento Educacional Especializado</t>
  </si>
  <si>
    <t>Posto de 40 horas semanais</t>
  </si>
  <si>
    <t>2392-20</t>
  </si>
  <si>
    <t>-</t>
  </si>
  <si>
    <t>DESCRIÇÃO</t>
  </si>
  <si>
    <t>QUANT.</t>
  </si>
  <si>
    <t>P1</t>
  </si>
  <si>
    <t>P2</t>
  </si>
  <si>
    <t>P3</t>
  </si>
  <si>
    <t>Blusas manga curta, em malha de algodão, com a logomarca da
empresa</t>
  </si>
  <si>
    <t>Crachá de identificação em PVC com nome e cargo do empregado, e conter fotografia 3x4 recente. Inclusive cordão em poliéster.</t>
  </si>
  <si>
    <t>Valo mensal</t>
  </si>
  <si>
    <t>c) Jornada de trabalho de 40h semanais.</t>
  </si>
  <si>
    <t>d) Considerado 30 dias de estimativa da necessidade de reposição de profissional.</t>
  </si>
  <si>
    <t>PREÇO UNITÁRIO ESTIMADO MÉDIO</t>
  </si>
  <si>
    <t>PREÇO TOTAL ESTIMADO</t>
  </si>
  <si>
    <t>Calça comprida tipo jeans (sem strech) na cor escura</t>
  </si>
  <si>
    <t>23063.003140/2024-86</t>
  </si>
  <si>
    <t>UNIFORME AEE</t>
  </si>
  <si>
    <t>Módulo 2  – Encargos e Benefícios Anuais, Mensais e Diários</t>
  </si>
  <si>
    <t>Submódulo 2.2 - GPS, FGTS e outras contribuições</t>
  </si>
  <si>
    <t>Submódulo 2.3 – Benefícios Mensais e Diários</t>
  </si>
  <si>
    <t>Transporte: Valor da passagem R$ 3,20. Vales por dia: 2 (dois). Quantidade de dias trabalhados: 22 (vinte e dois).</t>
  </si>
  <si>
    <t>Valor do vale Transporte: R$ 3,20 x 2 x 22 = R$ 140,80</t>
  </si>
  <si>
    <t>Módulo 3 – Provisão para Rescisão</t>
  </si>
  <si>
    <t>Submódulo 3.1 – Aviso Prévio Indenizado - API</t>
  </si>
  <si>
    <t>Aviso Prévio Indenizado – API - Direitos do empregado quando da rescisão contratual sem justa causa por Aviso Prévio Indenizado:</t>
  </si>
  <si>
    <t>Valor Total do Aviso Prévio Indenizado apresentado na proposta (considerada a probabilidade de ocorrência em 50% dos casos):</t>
  </si>
  <si>
    <t>Submódulo 3.2 – Aviso Prévio Trabalhado - APT</t>
  </si>
  <si>
    <t>Aviso Prévio Trabalhado – APT - Direitos do empregado quando da rescisão contratual sem justa causa por Aviso Prévio Trabalhado:</t>
  </si>
  <si>
    <t>Direito: Remuneração do mês trabalhado.</t>
  </si>
  <si>
    <t>Valor Total do Aviso Prévio Trabalhado apresentado na proposta (considerada a probabilidade de ocorrência em 50% dos casos):</t>
  </si>
  <si>
    <t>Obs: A metodologia utilizada para o Aviso Prévio Trabalhado considerou que o empregado trabalha os 30 dias, saindo 2 (duas) horas antes do posto de trabalho.</t>
  </si>
  <si>
    <t>Módulo 4 – Custo de Reposição do Profissional Ausente</t>
  </si>
  <si>
    <t>Direito do empregado substituto:</t>
  </si>
  <si>
    <t>Módulo 5 – Insumos de Mão de Obra</t>
  </si>
  <si>
    <t>Módulo 6 – Custos Indiretos, Tributos e Lucro - CITL</t>
  </si>
  <si>
    <t>Assistência Médica e Familiar</t>
  </si>
  <si>
    <t>Transporte  (considera 22 dias de trabalho e dois vales por dia)</t>
  </si>
  <si>
    <t>Substituto na cobertura de Outras ausências (especificar)</t>
  </si>
  <si>
    <t>Uniformes = R$ 283,18/12 = R$ 23,60</t>
  </si>
  <si>
    <t>90040/2024</t>
  </si>
  <si>
    <t xml:space="preserve">Equipamentos </t>
  </si>
  <si>
    <t>a) A metodologia utilizada foi a estabelecida pela Secretaria de Gestão (Seges) no que diz respeito aos cálculos nas planilhas de custo e formação dos preços (CADERNO DE LOGÍSTICA - PAGAMENTO PELO FATO GERADOR). Conforme cálculos abaixo.</t>
  </si>
  <si>
    <t>Observações</t>
  </si>
  <si>
    <t>Aviso Prévio Indenizado com probabilidade de 50%</t>
  </si>
  <si>
    <t>Aviso Prévio Trabalhado com probabilidade de 50%</t>
  </si>
  <si>
    <t xml:space="preserve">Necessidade da empresa, de acordo com as probabilidades consignadas, de um repositor durante o ano (em dia) = 30 dias  </t>
  </si>
  <si>
    <t>Atendimento educacional especializado</t>
  </si>
  <si>
    <t>Aviso Prévio Indenizado – API</t>
  </si>
  <si>
    <t>Dias</t>
  </si>
  <si>
    <t>Valor do custo diário do profissional</t>
  </si>
  <si>
    <t>Módulo 1 - Remuneração : R$ 3.191,48</t>
  </si>
  <si>
    <t>Adicional de férias (1/3 Constitucional): R$ 265,96 /3 =R$  88,65.</t>
  </si>
  <si>
    <t>Total do Submódulo 2.1: R$ 265,96 + R$ 265,96 + R$ 88,65 = R$ 620,57</t>
  </si>
  <si>
    <t>FGTS: R$ 3.812,05 x 8,00% = R$ 304,96</t>
  </si>
  <si>
    <t>Total do Submódulo 2.2: R$  1097,87+ R$ 304,96 = R$ 1402,82</t>
  </si>
  <si>
    <t>Desconto do vale transporte: R$ 3191,48x 6% = R$ 191,49</t>
  </si>
  <si>
    <r>
      <t xml:space="preserve">Custo Efetivo do Transporte: R$ 140,80 – R$ 191,49 = </t>
    </r>
    <r>
      <rPr>
        <sz val="11"/>
        <color rgb="FFFF0000"/>
        <rFont val="Calibri"/>
        <family val="2"/>
        <scheme val="minor"/>
      </rPr>
      <t>- R$50,69. Dado o valor negativo, o mesmo não foi considerado na planilha.</t>
    </r>
  </si>
  <si>
    <t>Total do Submódulo 2.3: R$ 0,00</t>
  </si>
  <si>
    <t xml:space="preserve">Não considerou custos com Vale-Transporte apenas para o  profissional AEE com com jornada de 40 horas semanais,  visto  que com o abatimento de até 6% do custo de vale-transporte sobre o salário do(a) profissional, esse benefício pode resultar em valor nulo ou irrisório. O valor do bilhete considerado foi de R$ 3,20. Assim, R$ 3,20*2 = R$ 6,40 * 22 = R$ 140,80. O desconto do profissional seria de R$ 3191,48*6% = R$ 191,49. Ou seja o saldo seria negativo - R$ 50,69. </t>
  </si>
  <si>
    <t>Módulo 2 = R$ 620,57+ R$ 1402,82+ R$ 0,00 = R$ 2023,39</t>
  </si>
  <si>
    <t>A metodologia empregada no Caderno de Logística do Pagamento pelo Fato Gerador é de 50% de probabilidade de ocorrência do Aviso Prévio Trabalhado e Indenizado, sendo que essa porcentagem a ser empregada na memória de cálculo poderá ser adequada de acordo com a realidade da cada empresa e, neste caso, essa adequação deverá constar em local específico da planilha.</t>
  </si>
  <si>
    <r>
      <t xml:space="preserve">A memória de cálculo que foi utilizada para o cálculo do valor total do módulo 3 é a que consta no </t>
    </r>
    <r>
      <rPr>
        <b/>
        <sz val="11"/>
        <color theme="1"/>
        <rFont val="Calibri"/>
        <family val="2"/>
        <scheme val="minor"/>
      </rPr>
      <t>Caderno de Logística do Pagamento pelo Fato Gerador do Governo Federal.</t>
    </r>
    <r>
      <rPr>
        <sz val="11"/>
        <color theme="1"/>
        <rFont val="Calibri"/>
        <family val="2"/>
        <scheme val="minor"/>
      </rPr>
      <t xml:space="preserve"> Conforme cálculos explicados ao lado.            A metodologia empregada no Caderno de Logística do Pagamento pelo Fato Gerador é de 50% de probabilidade de ocorrência do Aviso Prévio Trabalhado e Indenizado,</t>
    </r>
    <r>
      <rPr>
        <b/>
        <sz val="11"/>
        <color theme="1"/>
        <rFont val="Calibri"/>
        <family val="2"/>
        <scheme val="minor"/>
      </rPr>
      <t xml:space="preserve"> </t>
    </r>
    <r>
      <rPr>
        <b/>
        <u/>
        <sz val="11"/>
        <color theme="1"/>
        <rFont val="Calibri"/>
        <family val="2"/>
        <scheme val="minor"/>
      </rPr>
      <t>sendo que essa porcentagem a ser empregada na memória de cálculo poderá ser adequada de acordo com a realidade da cada empresa e, neste caso, essa adequação deverá constar em local específico da planilha.</t>
    </r>
  </si>
  <si>
    <t>• Remuneração: R$ 3.191,48</t>
  </si>
  <si>
    <t>• 13º Salário, Férias e Adicional de Férias Proporcional: R$ 620,57</t>
  </si>
  <si>
    <t>• FGTS: R$ 304,96</t>
  </si>
  <si>
    <t xml:space="preserve">• Benefícios: </t>
  </si>
  <si>
    <t>Total: R$ 4.117,01</t>
  </si>
  <si>
    <t>Direito: Remuneração de um mês indenizado: R$ 4.117,01</t>
  </si>
  <si>
    <t>Multa sobre o saldo do FGTS : R$ 304,96 (FGTS) x 40% = R$ 121,98</t>
  </si>
  <si>
    <t>R$ 343,08+ R$ 121,98 = R$ 465,06 X 50% = R$ 232,53</t>
  </si>
  <si>
    <t>R$ 4.117,01/12 = R$ 343,08</t>
  </si>
  <si>
    <t>Multa sobre o saldo do FGTS : R$ 304,96 (FGTS) x 40% = R$ 121,98.</t>
  </si>
  <si>
    <t>R$ 121,98 x 50% (probabilidade de rescisão por APT) = R$ 60,99</t>
  </si>
  <si>
    <t>Total do Módulo 3: R$ 232,53 + R$ 60,99 = R$ 293,52</t>
  </si>
  <si>
    <t>• Encargos e Benefícios anuais, mensais e diários: R$ 2.023,39</t>
  </si>
  <si>
    <t>• Provisão para Rescisão: R$ 293,52</t>
  </si>
  <si>
    <t>Total: R$ 5.508,39</t>
  </si>
  <si>
    <t>Custo diário do empregado substituto: R$ 5.508,39 ÷ 30 dias = R$ 183,61.</t>
  </si>
  <si>
    <t>Provisão mensal para o Custo da Reposição do Profissional: R$ 183,61*30 /12 = R$ 459,03</t>
  </si>
  <si>
    <t>Total do Módulo 4: R$ 459,03</t>
  </si>
  <si>
    <t>Módulo 6 : R$ 1519,01</t>
  </si>
  <si>
    <t>Dada a ausência de CCT, Utilizou-se para estimar o salário do profissional as seguintes fontes: 1) considerou-se a média salarial para o estado do Rio de Janeiro para o cargo de professor de DMU, conforme site dissidio.com. convertido para 40 horas semanais. 2) Salário constante na planilha de Custos de Contratações similares por outros órgãos ou entidades públicos. Assim, utilizou-se a média dos salários encontrados nessa pesquisa.</t>
  </si>
  <si>
    <t xml:space="preserve">13º Salário: R$ 3.191,48 ÷ 12 meses = R$ 265,96. </t>
  </si>
  <si>
    <t>Férias: R$ 3.191,48 ÷ 12 meses = R$ 265,96.</t>
  </si>
  <si>
    <t>GPS: R$ 3.812,05 x 28,80% = R$ 1.097,87</t>
  </si>
  <si>
    <t>Custo total do empregado = Soma dos módulos 1 ao 6 = R$ 7.510,03</t>
  </si>
  <si>
    <t>Guia da Previdência Social – Base de cálculo: composição da remuneração + 13° salário, férias e adicional de férias - R$ 3191,48+ 620,57 = R$ 3.812,05</t>
  </si>
  <si>
    <t xml:space="preserve">Percentuais apresentados (seguiu-se o modelo do Caderno de Logística - Pagamento pelo fato Gerador)
6% de Custos Indiretos
8,65% de Tributos (0,65% PIS - 3% COFINS e 5% ISS)
6,79% de Lucro
CITL =(1 + 6%)/(1 - 8,65% - 6,79%)-1 = 25,35%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</si>
</sst>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R$&quot;* #,##0.00_-;\-&quot;R$&quot;* #,##0.00_-;_-&quot;R$&quot;* &quot;-&quot;??_-;_-@_-"/>
    <numFmt numFmtId="167" formatCode="0.000%"/>
  </numFmts>
  <fonts count="26" x14ac:knownFonts="1">
    <font>
      <sz val="11"/>
      <color theme="1"/>
      <name val="Calibri"/>
      <family val="2"/>
      <scheme val="minor"/>
    </font>
    <font>
      <sz val="11"/>
      <color theme="1"/>
      <name val="Calibri"/>
      <family val="2"/>
      <scheme val="minor"/>
    </font>
    <font>
      <sz val="18"/>
      <color theme="0"/>
      <name val="Times New Roman"/>
      <family val="1"/>
    </font>
    <font>
      <sz val="12"/>
      <color theme="1"/>
      <name val="Times New Roman"/>
      <family val="1"/>
    </font>
    <font>
      <sz val="12"/>
      <color rgb="FFFF0000"/>
      <name val="Times New Roman"/>
      <family val="1"/>
    </font>
    <font>
      <b/>
      <sz val="12"/>
      <color theme="1"/>
      <name val="Times New Roman"/>
      <family val="1"/>
    </font>
    <font>
      <sz val="10"/>
      <name val="Verdana"/>
      <family val="2"/>
    </font>
    <font>
      <sz val="12"/>
      <name val="Times New Roman"/>
      <family val="1"/>
    </font>
    <font>
      <sz val="10"/>
      <color theme="1"/>
      <name val="Times New Roman"/>
      <family val="1"/>
    </font>
    <font>
      <b/>
      <sz val="12"/>
      <name val="Times New Roman"/>
      <family val="1"/>
    </font>
    <font>
      <sz val="10"/>
      <name val="Arial"/>
      <family val="2"/>
    </font>
    <font>
      <sz val="18"/>
      <color rgb="FFFF0000"/>
      <name val="Times New Roman"/>
      <family val="1"/>
    </font>
    <font>
      <b/>
      <sz val="18"/>
      <color rgb="FFFF0000"/>
      <name val="Times New Roman"/>
      <family val="1"/>
    </font>
    <font>
      <b/>
      <sz val="11"/>
      <color theme="1"/>
      <name val="Calibri"/>
      <family val="2"/>
      <scheme val="minor"/>
    </font>
    <font>
      <sz val="11"/>
      <color rgb="FFFF0000"/>
      <name val="Calibri"/>
      <family val="2"/>
      <scheme val="minor"/>
    </font>
    <font>
      <b/>
      <sz val="11"/>
      <name val="Arial"/>
      <family val="2"/>
    </font>
    <font>
      <b/>
      <sz val="10"/>
      <name val="Arial"/>
      <family val="2"/>
    </font>
    <font>
      <sz val="11"/>
      <name val="Arial"/>
      <family val="2"/>
    </font>
    <font>
      <sz val="11"/>
      <name val="Calibri"/>
      <family val="2"/>
      <scheme val="minor"/>
    </font>
    <font>
      <sz val="10"/>
      <color rgb="FF292929"/>
      <name val="Arial"/>
      <family val="2"/>
    </font>
    <font>
      <sz val="10"/>
      <color rgb="FF000000"/>
      <name val="Arial"/>
      <family val="2"/>
    </font>
    <font>
      <sz val="11"/>
      <color theme="1"/>
      <name val="Palatino Linotype"/>
      <family val="1"/>
    </font>
    <font>
      <sz val="11"/>
      <color theme="1"/>
      <name val="Palatino Linotype"/>
      <family val="1"/>
    </font>
    <font>
      <b/>
      <sz val="11"/>
      <color theme="1"/>
      <name val="Palatino Linotype"/>
      <family val="1"/>
    </font>
    <font>
      <b/>
      <u/>
      <sz val="11"/>
      <color theme="1"/>
      <name val="Calibri"/>
      <family val="2"/>
      <scheme val="minor"/>
    </font>
    <font>
      <b/>
      <sz val="12"/>
      <color theme="1"/>
      <name val="Calibri"/>
      <family val="2"/>
      <scheme val="minor"/>
    </font>
  </fonts>
  <fills count="11">
    <fill>
      <patternFill patternType="none"/>
    </fill>
    <fill>
      <patternFill patternType="gray125"/>
    </fill>
    <fill>
      <patternFill patternType="solid">
        <fgColor theme="4"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FF"/>
        <bgColor rgb="FFDEEAF6"/>
      </patternFill>
    </fill>
  </fills>
  <borders count="5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8"/>
      </left>
      <right style="medium">
        <color indexed="8"/>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style="medium">
        <color indexed="64"/>
      </right>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8"/>
      </left>
      <right style="medium">
        <color indexed="8"/>
      </right>
      <top/>
      <bottom style="medium">
        <color indexed="8"/>
      </bottom>
      <diagonal/>
    </border>
    <border>
      <left style="medium">
        <color indexed="64"/>
      </left>
      <right/>
      <top style="medium">
        <color indexed="64"/>
      </top>
      <bottom style="thin">
        <color rgb="FF000000"/>
      </bottom>
      <diagonal/>
    </border>
    <border>
      <left style="medium">
        <color indexed="64"/>
      </left>
      <right/>
      <top style="medium">
        <color indexed="8"/>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180">
    <xf numFmtId="0" fontId="0" fillId="0" borderId="0" xfId="0"/>
    <xf numFmtId="0" fontId="2" fillId="2" borderId="0" xfId="0" applyFont="1" applyFill="1"/>
    <xf numFmtId="0" fontId="3" fillId="0" borderId="0" xfId="0" applyFont="1"/>
    <xf numFmtId="0" fontId="5"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vertical="center" wrapText="1"/>
    </xf>
    <xf numFmtId="0" fontId="3" fillId="0" borderId="4" xfId="0" applyFont="1" applyBorder="1" applyAlignment="1">
      <alignment horizontal="center" vertical="center" wrapText="1"/>
    </xf>
    <xf numFmtId="2" fontId="3" fillId="0" borderId="4" xfId="0" applyNumberFormat="1" applyFont="1" applyBorder="1" applyAlignment="1">
      <alignment horizontal="center" vertical="center" wrapText="1"/>
    </xf>
    <xf numFmtId="0" fontId="5" fillId="0" borderId="0" xfId="0" applyFont="1" applyAlignment="1">
      <alignment vertical="center"/>
    </xf>
    <xf numFmtId="10" fontId="3" fillId="0" borderId="4" xfId="0" applyNumberFormat="1" applyFont="1" applyBorder="1" applyAlignment="1">
      <alignment horizontal="center" vertical="center" wrapText="1"/>
    </xf>
    <xf numFmtId="0" fontId="6" fillId="5" borderId="6" xfId="0" applyFont="1" applyFill="1" applyBorder="1" applyAlignment="1">
      <alignment vertical="center" wrapText="1"/>
    </xf>
    <xf numFmtId="0" fontId="6" fillId="0" borderId="6" xfId="0" applyFont="1" applyBorder="1" applyAlignment="1">
      <alignment vertical="center" wrapText="1"/>
    </xf>
    <xf numFmtId="0" fontId="3" fillId="0" borderId="0" xfId="0" applyFont="1" applyAlignment="1">
      <alignment vertical="center"/>
    </xf>
    <xf numFmtId="0" fontId="3" fillId="0" borderId="4" xfId="0" applyFont="1" applyBorder="1" applyAlignment="1">
      <alignment horizontal="justify" vertical="center" wrapText="1"/>
    </xf>
    <xf numFmtId="0" fontId="5" fillId="0" borderId="2" xfId="0" applyFont="1" applyBorder="1" applyAlignment="1">
      <alignment vertical="center" wrapText="1"/>
    </xf>
    <xf numFmtId="2" fontId="3" fillId="0" borderId="4" xfId="0" applyNumberFormat="1" applyFont="1" applyBorder="1" applyAlignment="1">
      <alignment vertical="center" wrapText="1"/>
    </xf>
    <xf numFmtId="0" fontId="7" fillId="0" borderId="0" xfId="0" applyFont="1"/>
    <xf numFmtId="0" fontId="7" fillId="0" borderId="0" xfId="0" applyFont="1" applyAlignment="1">
      <alignment horizontal="center"/>
    </xf>
    <xf numFmtId="0" fontId="7" fillId="0" borderId="7" xfId="0" applyFont="1" applyBorder="1"/>
    <xf numFmtId="0" fontId="7" fillId="0" borderId="7" xfId="0" applyFont="1" applyBorder="1" applyAlignment="1">
      <alignment horizontal="left"/>
    </xf>
    <xf numFmtId="0" fontId="7" fillId="0" borderId="7" xfId="0" applyFont="1" applyBorder="1" applyAlignment="1">
      <alignment horizontal="center"/>
    </xf>
    <xf numFmtId="0" fontId="9" fillId="0" borderId="7" xfId="0" applyFont="1" applyBorder="1" applyAlignment="1">
      <alignment horizontal="center"/>
    </xf>
    <xf numFmtId="0" fontId="7" fillId="0" borderId="10" xfId="0" applyFont="1" applyBorder="1" applyAlignment="1">
      <alignment horizontal="right"/>
    </xf>
    <xf numFmtId="0" fontId="4" fillId="0" borderId="9" xfId="0" applyFont="1" applyBorder="1" applyAlignment="1">
      <alignment horizontal="right"/>
    </xf>
    <xf numFmtId="0" fontId="7" fillId="0" borderId="9" xfId="0" applyFont="1" applyBorder="1" applyAlignment="1">
      <alignment horizontal="center"/>
    </xf>
    <xf numFmtId="0" fontId="4" fillId="0" borderId="9" xfId="0" applyFont="1" applyBorder="1" applyAlignment="1">
      <alignment horizontal="center"/>
    </xf>
    <xf numFmtId="0" fontId="7" fillId="0" borderId="11" xfId="0" applyFont="1" applyBorder="1" applyAlignment="1">
      <alignment horizontal="right"/>
    </xf>
    <xf numFmtId="0" fontId="7" fillId="0" borderId="12" xfId="0" applyFont="1" applyBorder="1" applyAlignment="1">
      <alignment horizontal="center"/>
    </xf>
    <xf numFmtId="0" fontId="7" fillId="0" borderId="8" xfId="0" applyFont="1" applyBorder="1" applyAlignment="1">
      <alignment horizontal="center"/>
    </xf>
    <xf numFmtId="0" fontId="7" fillId="0" borderId="13" xfId="0" applyFont="1" applyBorder="1" applyAlignment="1">
      <alignment horizontal="center"/>
    </xf>
    <xf numFmtId="0" fontId="7" fillId="0" borderId="14" xfId="0" applyFont="1" applyBorder="1" applyAlignment="1">
      <alignment horizontal="center"/>
    </xf>
    <xf numFmtId="0" fontId="7" fillId="0" borderId="0" xfId="0" applyFont="1" applyAlignment="1">
      <alignment horizontal="left"/>
    </xf>
    <xf numFmtId="0" fontId="7" fillId="0" borderId="20" xfId="0" applyFont="1" applyBorder="1" applyAlignment="1">
      <alignment horizontal="left"/>
    </xf>
    <xf numFmtId="0" fontId="7" fillId="0" borderId="16" xfId="0" applyFont="1" applyBorder="1" applyAlignment="1">
      <alignment horizontal="center"/>
    </xf>
    <xf numFmtId="0" fontId="7" fillId="0" borderId="21" xfId="0" applyFont="1" applyBorder="1" applyAlignment="1">
      <alignment horizontal="left"/>
    </xf>
    <xf numFmtId="0" fontId="7" fillId="0" borderId="22" xfId="0" applyFont="1" applyBorder="1" applyAlignment="1">
      <alignment horizontal="center"/>
    </xf>
    <xf numFmtId="0" fontId="7" fillId="0" borderId="17" xfId="0" applyFont="1" applyBorder="1" applyAlignment="1">
      <alignment horizontal="left"/>
    </xf>
    <xf numFmtId="0" fontId="7" fillId="0" borderId="18" xfId="0" applyFont="1" applyBorder="1" applyAlignment="1">
      <alignment horizontal="left"/>
    </xf>
    <xf numFmtId="0" fontId="7" fillId="0" borderId="19" xfId="0" applyFont="1" applyBorder="1" applyAlignment="1">
      <alignment horizontal="center"/>
    </xf>
    <xf numFmtId="0" fontId="9" fillId="0" borderId="15" xfId="0" applyFont="1" applyBorder="1" applyAlignment="1">
      <alignment horizontal="left"/>
    </xf>
    <xf numFmtId="0" fontId="5" fillId="0" borderId="0" xfId="0" applyFont="1" applyAlignment="1">
      <alignment horizontal="center" vertical="center" wrapText="1"/>
    </xf>
    <xf numFmtId="2" fontId="3" fillId="0" borderId="0" xfId="0" applyNumberFormat="1" applyFont="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10" fontId="3" fillId="0" borderId="0" xfId="0" applyNumberFormat="1" applyFont="1" applyAlignment="1">
      <alignment horizontal="center" vertical="center" wrapText="1"/>
    </xf>
    <xf numFmtId="0" fontId="3" fillId="0" borderId="23" xfId="0" applyFont="1" applyBorder="1" applyAlignment="1">
      <alignment vertical="center" wrapText="1"/>
    </xf>
    <xf numFmtId="0" fontId="3" fillId="0" borderId="0" xfId="0" applyFont="1" applyAlignment="1">
      <alignment vertical="center" wrapText="1"/>
    </xf>
    <xf numFmtId="39" fontId="7" fillId="0" borderId="0" xfId="0" applyNumberFormat="1" applyFont="1" applyAlignment="1">
      <alignment horizontal="center" vertical="center" wrapText="1"/>
    </xf>
    <xf numFmtId="0" fontId="8" fillId="0" borderId="0" xfId="0" applyFont="1" applyAlignment="1">
      <alignment horizontal="center"/>
    </xf>
    <xf numFmtId="164" fontId="3" fillId="0" borderId="0" xfId="1" applyFont="1" applyFill="1" applyBorder="1"/>
    <xf numFmtId="0" fontId="4" fillId="0" borderId="11" xfId="0" applyFont="1" applyBorder="1" applyAlignment="1">
      <alignment horizontal="center"/>
    </xf>
    <xf numFmtId="164" fontId="7" fillId="0" borderId="9" xfId="1" applyFont="1" applyBorder="1" applyAlignment="1">
      <alignment horizontal="center"/>
    </xf>
    <xf numFmtId="164" fontId="3" fillId="0" borderId="4" xfId="0" applyNumberFormat="1" applyFont="1" applyBorder="1" applyAlignment="1">
      <alignment horizontal="center" vertical="center" wrapText="1"/>
    </xf>
    <xf numFmtId="164" fontId="3" fillId="0" borderId="4" xfId="1" applyFont="1" applyBorder="1" applyAlignment="1">
      <alignment horizontal="center" vertical="center" wrapText="1"/>
    </xf>
    <xf numFmtId="164" fontId="3" fillId="0" borderId="0" xfId="0" applyNumberFormat="1" applyFont="1"/>
    <xf numFmtId="164" fontId="7" fillId="0" borderId="4" xfId="1" applyFont="1" applyBorder="1" applyAlignment="1">
      <alignment horizontal="center" vertical="center" wrapText="1"/>
    </xf>
    <xf numFmtId="0" fontId="11" fillId="6" borderId="0" xfId="0" applyFont="1" applyFill="1"/>
    <xf numFmtId="0" fontId="12" fillId="6" borderId="0" xfId="0" applyFont="1" applyFill="1"/>
    <xf numFmtId="164" fontId="3" fillId="0" borderId="0" xfId="1" applyFont="1"/>
    <xf numFmtId="164" fontId="3" fillId="0" borderId="0" xfId="1" applyFont="1" applyFill="1" applyAlignment="1">
      <alignment horizontal="center"/>
    </xf>
    <xf numFmtId="164" fontId="3" fillId="0" borderId="0" xfId="1" applyFont="1" applyFill="1"/>
    <xf numFmtId="9" fontId="3" fillId="0" borderId="0" xfId="0" applyNumberFormat="1" applyFont="1"/>
    <xf numFmtId="164" fontId="7" fillId="0" borderId="1" xfId="1" applyFont="1" applyBorder="1" applyAlignment="1">
      <alignment horizontal="center" vertical="center"/>
    </xf>
    <xf numFmtId="164" fontId="3" fillId="0" borderId="4" xfId="1" applyFont="1" applyBorder="1" applyAlignment="1">
      <alignment vertical="center" wrapText="1"/>
    </xf>
    <xf numFmtId="164" fontId="7" fillId="0" borderId="4" xfId="1" applyFont="1" applyBorder="1" applyAlignment="1">
      <alignment vertical="center" wrapText="1"/>
    </xf>
    <xf numFmtId="164" fontId="3" fillId="0" borderId="1" xfId="1" applyFont="1" applyBorder="1" applyAlignment="1">
      <alignment vertical="center" wrapText="1"/>
    </xf>
    <xf numFmtId="10" fontId="3" fillId="0" borderId="4" xfId="3" applyNumberFormat="1" applyFont="1" applyBorder="1" applyAlignment="1">
      <alignment horizontal="center" vertical="center" wrapText="1"/>
    </xf>
    <xf numFmtId="0" fontId="3" fillId="0" borderId="1" xfId="0" applyFont="1" applyBorder="1" applyAlignment="1">
      <alignment horizontal="center" vertical="center" wrapText="1"/>
    </xf>
    <xf numFmtId="0" fontId="5" fillId="0" borderId="3" xfId="0" applyFont="1" applyBorder="1" applyAlignment="1">
      <alignment horizontal="center" vertical="center" wrapText="1"/>
    </xf>
    <xf numFmtId="164" fontId="3" fillId="0" borderId="4" xfId="1" applyFont="1" applyFill="1" applyBorder="1" applyAlignment="1">
      <alignment horizontal="center" vertical="center" wrapText="1"/>
    </xf>
    <xf numFmtId="0" fontId="5" fillId="0" borderId="2" xfId="0"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4" xfId="1"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164" fontId="3" fillId="0" borderId="24" xfId="1" applyFont="1" applyBorder="1"/>
    <xf numFmtId="2" fontId="3" fillId="0" borderId="3" xfId="0" applyNumberFormat="1" applyFont="1" applyBorder="1" applyAlignment="1">
      <alignment horizontal="center" vertical="center" wrapText="1"/>
    </xf>
    <xf numFmtId="0" fontId="3" fillId="0" borderId="25" xfId="0" applyFont="1" applyBorder="1" applyAlignment="1">
      <alignment vertical="center" wrapText="1"/>
    </xf>
    <xf numFmtId="0" fontId="5" fillId="0" borderId="26" xfId="0" applyFont="1" applyBorder="1" applyAlignment="1">
      <alignment horizontal="center" vertical="center" wrapText="1"/>
    </xf>
    <xf numFmtId="164" fontId="3" fillId="0" borderId="7" xfId="1" applyFont="1" applyBorder="1"/>
    <xf numFmtId="2" fontId="3" fillId="0" borderId="7" xfId="0" applyNumberFormat="1" applyFont="1" applyBorder="1" applyAlignment="1">
      <alignment horizontal="center" vertical="center" wrapText="1"/>
    </xf>
    <xf numFmtId="0" fontId="0" fillId="0" borderId="7" xfId="0" applyBorder="1" applyAlignment="1">
      <alignment horizontal="center"/>
    </xf>
    <xf numFmtId="0" fontId="10" fillId="0" borderId="7" xfId="0" applyFont="1" applyBorder="1"/>
    <xf numFmtId="164" fontId="7" fillId="0" borderId="7" xfId="1" applyFont="1" applyBorder="1" applyAlignment="1">
      <alignment horizontal="center"/>
    </xf>
    <xf numFmtId="164" fontId="0" fillId="0" borderId="7" xfId="1" applyFont="1" applyBorder="1" applyAlignment="1">
      <alignment horizontal="center" vertical="center"/>
    </xf>
    <xf numFmtId="164" fontId="18" fillId="0" borderId="7" xfId="1" applyFont="1" applyBorder="1" applyAlignment="1">
      <alignment horizontal="center" vertical="center"/>
    </xf>
    <xf numFmtId="0" fontId="17" fillId="0" borderId="7" xfId="0" applyFont="1" applyBorder="1" applyAlignment="1">
      <alignment horizontal="center" vertical="center" wrapText="1"/>
    </xf>
    <xf numFmtId="0" fontId="0" fillId="0" borderId="7" xfId="0" applyBorder="1"/>
    <xf numFmtId="164" fontId="16" fillId="0" borderId="7" xfId="1" applyFont="1" applyBorder="1" applyAlignment="1">
      <alignment horizontal="center" vertical="center"/>
    </xf>
    <xf numFmtId="0" fontId="15" fillId="0" borderId="7" xfId="0" applyFont="1" applyBorder="1" applyAlignment="1">
      <alignment horizontal="center" vertical="center" wrapText="1"/>
    </xf>
    <xf numFmtId="0" fontId="16" fillId="0" borderId="7" xfId="0" applyFont="1" applyBorder="1" applyAlignment="1">
      <alignment horizontal="center" vertical="center"/>
    </xf>
    <xf numFmtId="164" fontId="10" fillId="0" borderId="7" xfId="1" applyFont="1" applyFill="1" applyBorder="1" applyAlignment="1">
      <alignment horizontal="center" vertical="center"/>
    </xf>
    <xf numFmtId="164" fontId="18" fillId="0" borderId="7" xfId="1" applyFont="1" applyFill="1" applyBorder="1" applyAlignment="1">
      <alignment horizontal="center" vertical="center"/>
    </xf>
    <xf numFmtId="0" fontId="0" fillId="0" borderId="7" xfId="0" applyBorder="1" applyAlignment="1">
      <alignment horizontal="center" vertical="center"/>
    </xf>
    <xf numFmtId="0" fontId="13" fillId="8" borderId="7" xfId="0" applyFont="1" applyFill="1" applyBorder="1"/>
    <xf numFmtId="0" fontId="0" fillId="9" borderId="7" xfId="0" applyFill="1" applyBorder="1"/>
    <xf numFmtId="0" fontId="0" fillId="0" borderId="7" xfId="0" applyBorder="1" applyAlignment="1">
      <alignment wrapText="1"/>
    </xf>
    <xf numFmtId="0" fontId="0" fillId="0" borderId="29" xfId="0" applyBorder="1"/>
    <xf numFmtId="0" fontId="13" fillId="0" borderId="7" xfId="0" applyFont="1" applyBorder="1"/>
    <xf numFmtId="0" fontId="13" fillId="7" borderId="7" xfId="0" applyFont="1" applyFill="1" applyBorder="1" applyAlignment="1">
      <alignment horizontal="center"/>
    </xf>
    <xf numFmtId="0" fontId="13" fillId="7" borderId="7" xfId="0" applyFont="1" applyFill="1" applyBorder="1"/>
    <xf numFmtId="0" fontId="0" fillId="0" borderId="7" xfId="0" applyBorder="1" applyAlignment="1">
      <alignment horizontal="left" wrapText="1"/>
    </xf>
    <xf numFmtId="0" fontId="0" fillId="0" borderId="10" xfId="0" applyBorder="1"/>
    <xf numFmtId="0" fontId="7" fillId="0" borderId="7" xfId="0" applyFont="1" applyBorder="1" applyAlignment="1">
      <alignment horizontal="right"/>
    </xf>
    <xf numFmtId="0" fontId="4" fillId="0" borderId="7" xfId="0" applyFont="1" applyBorder="1" applyAlignment="1">
      <alignment horizontal="center"/>
    </xf>
    <xf numFmtId="164" fontId="0" fillId="0" borderId="0" xfId="0" applyNumberFormat="1"/>
    <xf numFmtId="0" fontId="7" fillId="0" borderId="30" xfId="0" applyFont="1" applyBorder="1"/>
    <xf numFmtId="0" fontId="19" fillId="0" borderId="7" xfId="0" applyFont="1" applyBorder="1" applyAlignment="1">
      <alignment horizontal="center"/>
    </xf>
    <xf numFmtId="0" fontId="7" fillId="0" borderId="30" xfId="0" applyFont="1" applyBorder="1" applyAlignment="1">
      <alignment horizontal="center"/>
    </xf>
    <xf numFmtId="0" fontId="5" fillId="0" borderId="5"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3" xfId="0" applyFont="1" applyBorder="1" applyAlignment="1">
      <alignment horizontal="justify" vertical="center" wrapText="1"/>
    </xf>
    <xf numFmtId="0" fontId="3" fillId="0" borderId="36" xfId="0" applyFont="1" applyBorder="1" applyAlignment="1">
      <alignment horizontal="center" vertical="center" wrapText="1"/>
    </xf>
    <xf numFmtId="0" fontId="21" fillId="0" borderId="29" xfId="0" applyFont="1" applyBorder="1" applyAlignment="1">
      <alignment wrapText="1"/>
    </xf>
    <xf numFmtId="0" fontId="3" fillId="0" borderId="31" xfId="0" applyFont="1" applyBorder="1" applyAlignment="1">
      <alignment horizontal="center" vertical="center" wrapText="1"/>
    </xf>
    <xf numFmtId="0" fontId="3" fillId="0" borderId="10" xfId="0" applyFont="1" applyBorder="1" applyAlignment="1">
      <alignment horizontal="justify" vertical="center" wrapText="1"/>
    </xf>
    <xf numFmtId="0" fontId="5" fillId="0" borderId="37" xfId="0" applyFont="1" applyBorder="1" applyAlignment="1">
      <alignment horizontal="justify" vertical="center" wrapText="1"/>
    </xf>
    <xf numFmtId="0" fontId="3" fillId="0" borderId="14" xfId="0" applyFont="1" applyBorder="1" applyAlignment="1">
      <alignment horizontal="center" vertical="center" wrapText="1"/>
    </xf>
    <xf numFmtId="0" fontId="3" fillId="0" borderId="14" xfId="0" applyFont="1" applyBorder="1" applyAlignment="1">
      <alignment horizontal="justify" vertical="center" wrapText="1"/>
    </xf>
    <xf numFmtId="2" fontId="22" fillId="0" borderId="33" xfId="0" applyNumberFormat="1" applyFont="1" applyBorder="1" applyAlignment="1">
      <alignment horizontal="center" wrapText="1"/>
    </xf>
    <xf numFmtId="0" fontId="5" fillId="0" borderId="38" xfId="0" applyFont="1" applyBorder="1" applyAlignment="1">
      <alignment horizontal="center" vertical="center" wrapText="1"/>
    </xf>
    <xf numFmtId="164" fontId="7" fillId="0" borderId="3" xfId="1" applyFont="1" applyBorder="1" applyAlignment="1">
      <alignment horizontal="center" vertical="center"/>
    </xf>
    <xf numFmtId="0" fontId="5" fillId="0" borderId="32" xfId="0" applyFont="1" applyBorder="1" applyAlignment="1">
      <alignment horizontal="center" vertical="center" wrapText="1"/>
    </xf>
    <xf numFmtId="0" fontId="23" fillId="0" borderId="37" xfId="0" applyFont="1" applyBorder="1" applyAlignment="1">
      <alignment horizontal="center" wrapText="1"/>
    </xf>
    <xf numFmtId="164" fontId="3" fillId="0" borderId="32" xfId="0" applyNumberFormat="1" applyFont="1" applyBorder="1" applyAlignment="1">
      <alignment wrapText="1"/>
    </xf>
    <xf numFmtId="164" fontId="3" fillId="0" borderId="1" xfId="1" applyFont="1" applyBorder="1" applyAlignment="1">
      <alignment horizontal="center" vertical="center" wrapText="1"/>
    </xf>
    <xf numFmtId="164" fontId="3" fillId="0" borderId="34" xfId="0" applyNumberFormat="1" applyFont="1" applyBorder="1" applyAlignment="1">
      <alignment horizontal="center" vertical="center"/>
    </xf>
    <xf numFmtId="10" fontId="3" fillId="0" borderId="0" xfId="0" applyNumberFormat="1" applyFont="1"/>
    <xf numFmtId="167" fontId="22" fillId="10" borderId="32" xfId="0" applyNumberFormat="1" applyFont="1" applyFill="1" applyBorder="1" applyAlignment="1">
      <alignment horizontal="center"/>
    </xf>
    <xf numFmtId="0" fontId="13" fillId="0" borderId="39" xfId="0" applyFont="1" applyBorder="1"/>
    <xf numFmtId="0" fontId="0" fillId="0" borderId="39" xfId="0" applyBorder="1" applyAlignment="1">
      <alignment wrapText="1"/>
    </xf>
    <xf numFmtId="0" fontId="0" fillId="0" borderId="39" xfId="0" applyBorder="1"/>
    <xf numFmtId="0" fontId="13" fillId="8" borderId="39" xfId="0" applyFont="1" applyFill="1" applyBorder="1"/>
    <xf numFmtId="0" fontId="0" fillId="0" borderId="32" xfId="0" applyBorder="1" applyAlignment="1">
      <alignment vertical="justify" wrapText="1"/>
    </xf>
    <xf numFmtId="0" fontId="25" fillId="8" borderId="39" xfId="0" applyFont="1" applyFill="1" applyBorder="1" applyAlignment="1">
      <alignment vertical="center" wrapText="1"/>
    </xf>
    <xf numFmtId="0" fontId="20" fillId="0" borderId="0" xfId="0" applyFont="1" applyAlignment="1" applyProtection="1">
      <alignment vertical="center" wrapText="1"/>
      <protection locked="0"/>
    </xf>
    <xf numFmtId="0" fontId="3" fillId="0" borderId="32" xfId="0" applyFont="1" applyBorder="1" applyAlignment="1">
      <alignment horizontal="center" vertical="center" wrapText="1"/>
    </xf>
    <xf numFmtId="0" fontId="3" fillId="0" borderId="34" xfId="0" applyFont="1" applyBorder="1" applyAlignment="1">
      <alignment vertical="center" wrapText="1"/>
    </xf>
    <xf numFmtId="0" fontId="6" fillId="0" borderId="41" xfId="0" applyFont="1" applyBorder="1" applyAlignment="1">
      <alignment vertical="center" wrapText="1"/>
    </xf>
    <xf numFmtId="0" fontId="20" fillId="0" borderId="42" xfId="0" applyFont="1" applyBorder="1" applyAlignment="1" applyProtection="1">
      <alignment vertical="center" wrapText="1"/>
      <protection locked="0"/>
    </xf>
    <xf numFmtId="0" fontId="6" fillId="0" borderId="43" xfId="0" applyFont="1" applyBorder="1" applyAlignment="1">
      <alignment vertical="center" wrapText="1"/>
    </xf>
    <xf numFmtId="0" fontId="5" fillId="0" borderId="23" xfId="0" applyFont="1" applyBorder="1" applyAlignment="1">
      <alignment horizontal="center" vertical="center" wrapText="1"/>
    </xf>
    <xf numFmtId="164" fontId="7" fillId="0" borderId="17" xfId="1" applyFont="1" applyBorder="1" applyAlignment="1">
      <alignment horizontal="center" vertical="center" wrapText="1"/>
    </xf>
    <xf numFmtId="164" fontId="7" fillId="0" borderId="15" xfId="1" applyFont="1" applyBorder="1" applyAlignment="1">
      <alignment horizontal="center" vertical="center" wrapText="1"/>
    </xf>
    <xf numFmtId="164" fontId="7" fillId="0" borderId="21" xfId="1" applyFont="1" applyBorder="1" applyAlignment="1">
      <alignment horizontal="center" vertical="center" wrapText="1"/>
    </xf>
    <xf numFmtId="164" fontId="9" fillId="0" borderId="48" xfId="1" applyFont="1" applyBorder="1" applyAlignment="1">
      <alignment horizontal="center" vertical="center" wrapText="1"/>
    </xf>
    <xf numFmtId="164" fontId="3" fillId="0" borderId="44" xfId="1" applyFont="1" applyBorder="1"/>
    <xf numFmtId="164" fontId="3" fillId="6" borderId="4" xfId="0" applyNumberFormat="1" applyFont="1" applyFill="1" applyBorder="1" applyAlignment="1">
      <alignment horizontal="center" vertical="center" wrapText="1"/>
    </xf>
    <xf numFmtId="10" fontId="3" fillId="6" borderId="4" xfId="0" applyNumberFormat="1" applyFont="1" applyFill="1" applyBorder="1" applyAlignment="1">
      <alignment horizontal="center" vertical="center" wrapText="1"/>
    </xf>
    <xf numFmtId="164" fontId="3" fillId="6" borderId="34" xfId="1" applyFont="1" applyFill="1" applyBorder="1" applyAlignment="1">
      <alignment horizontal="center" vertical="center" wrapText="1"/>
    </xf>
    <xf numFmtId="164" fontId="3" fillId="6" borderId="4" xfId="1" applyFont="1" applyFill="1" applyBorder="1" applyAlignment="1">
      <alignment horizontal="center" vertical="center" wrapText="1"/>
    </xf>
    <xf numFmtId="0" fontId="20" fillId="6" borderId="32" xfId="0" applyFont="1" applyFill="1" applyBorder="1" applyAlignment="1" applyProtection="1">
      <alignment vertical="center" wrapText="1"/>
      <protection locked="0"/>
    </xf>
    <xf numFmtId="0" fontId="20" fillId="6" borderId="44" xfId="0" applyFont="1" applyFill="1" applyBorder="1" applyAlignment="1" applyProtection="1">
      <alignment vertical="center" wrapText="1"/>
      <protection locked="0"/>
    </xf>
    <xf numFmtId="164" fontId="5" fillId="6" borderId="47" xfId="0" applyNumberFormat="1" applyFont="1" applyFill="1" applyBorder="1"/>
    <xf numFmtId="2" fontId="22" fillId="6" borderId="36" xfId="0" applyNumberFormat="1" applyFont="1" applyFill="1" applyBorder="1" applyAlignment="1">
      <alignment horizontal="center" wrapText="1"/>
    </xf>
    <xf numFmtId="2" fontId="22" fillId="6" borderId="33" xfId="0" applyNumberFormat="1" applyFont="1" applyFill="1" applyBorder="1" applyAlignment="1">
      <alignment horizontal="center" wrapText="1"/>
    </xf>
    <xf numFmtId="10" fontId="3" fillId="6" borderId="4" xfId="3" applyNumberFormat="1" applyFont="1" applyFill="1" applyBorder="1" applyAlignment="1">
      <alignment horizontal="center" vertical="center" wrapText="1"/>
    </xf>
    <xf numFmtId="2" fontId="3" fillId="6" borderId="4" xfId="0" applyNumberFormat="1" applyFont="1" applyFill="1" applyBorder="1" applyAlignment="1">
      <alignment horizontal="center" vertical="center" wrapText="1"/>
    </xf>
    <xf numFmtId="0" fontId="3" fillId="6" borderId="4" xfId="0" applyFont="1" applyFill="1" applyBorder="1" applyAlignment="1">
      <alignment horizontal="center" vertical="center" wrapText="1"/>
    </xf>
    <xf numFmtId="0" fontId="5" fillId="3" borderId="0" xfId="0" applyFont="1" applyFill="1" applyAlignment="1">
      <alignment horizontal="center" vertical="center"/>
    </xf>
    <xf numFmtId="0" fontId="5" fillId="4" borderId="0" xfId="0" applyFont="1" applyFill="1" applyAlignment="1">
      <alignment horizontal="center" vertical="center"/>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7" xfId="0" applyFont="1" applyBorder="1" applyAlignment="1">
      <alignment horizontal="center" vertical="center" wrapText="1"/>
    </xf>
    <xf numFmtId="0" fontId="5" fillId="4" borderId="0" xfId="0" applyFont="1" applyFill="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45" xfId="0" applyFont="1" applyBorder="1" applyAlignment="1">
      <alignment horizontal="center"/>
    </xf>
    <xf numFmtId="0" fontId="5" fillId="0" borderId="46" xfId="0" applyFont="1" applyBorder="1" applyAlignment="1">
      <alignment horizontal="center"/>
    </xf>
    <xf numFmtId="0" fontId="0" fillId="0" borderId="36" xfId="0" applyBorder="1" applyAlignment="1">
      <alignment horizontal="center" vertical="center" wrapText="1"/>
    </xf>
    <xf numFmtId="0" fontId="0" fillId="0" borderId="4" xfId="0" applyBorder="1" applyAlignment="1">
      <alignment horizontal="center" vertical="center" wrapText="1"/>
    </xf>
    <xf numFmtId="0" fontId="3" fillId="0" borderId="49" xfId="0" applyFont="1" applyBorder="1" applyAlignment="1">
      <alignment horizontal="center" wrapText="1"/>
    </xf>
    <xf numFmtId="0" fontId="3" fillId="0" borderId="24" xfId="0" applyFont="1" applyBorder="1" applyAlignment="1">
      <alignment horizontal="center" wrapText="1"/>
    </xf>
    <xf numFmtId="0" fontId="3" fillId="0" borderId="3" xfId="0" applyFont="1" applyBorder="1" applyAlignment="1">
      <alignment horizontal="center" wrapText="1"/>
    </xf>
    <xf numFmtId="0" fontId="0" fillId="0" borderId="40" xfId="0" applyBorder="1" applyAlignment="1">
      <alignment horizontal="center" vertical="center" wrapText="1"/>
    </xf>
    <xf numFmtId="0" fontId="0" fillId="0" borderId="24" xfId="0" applyBorder="1" applyAlignment="1">
      <alignment horizontal="center" vertical="center" wrapText="1"/>
    </xf>
    <xf numFmtId="0" fontId="0" fillId="0" borderId="3" xfId="0" applyBorder="1" applyAlignment="1">
      <alignment horizontal="center" vertical="center" wrapText="1"/>
    </xf>
    <xf numFmtId="0" fontId="15" fillId="0" borderId="28" xfId="0" applyFont="1" applyBorder="1" applyAlignment="1">
      <alignment horizontal="center" vertical="top" wrapText="1"/>
    </xf>
    <xf numFmtId="0" fontId="15" fillId="0" borderId="18" xfId="0" applyFont="1" applyBorder="1" applyAlignment="1">
      <alignment horizontal="center" vertical="top" wrapText="1"/>
    </xf>
  </cellXfs>
  <cellStyles count="4">
    <cellStyle name="Moeda" xfId="1" builtinId="4"/>
    <cellStyle name="Normal" xfId="0" builtinId="0"/>
    <cellStyle name="Normal 2 2" xfId="2" xr:uid="{00000000-0005-0000-0000-000002000000}"/>
    <cellStyle name="Porcentagem"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87"/>
  <sheetViews>
    <sheetView topLeftCell="A109" workbookViewId="0">
      <selection activeCell="C116" sqref="C116"/>
    </sheetView>
  </sheetViews>
  <sheetFormatPr defaultRowHeight="15.75" x14ac:dyDescent="0.25"/>
  <cols>
    <col min="1" max="1" width="14.42578125" style="2" customWidth="1"/>
    <col min="2" max="2" width="72.140625" style="2" customWidth="1"/>
    <col min="3" max="3" width="28.140625" style="2" customWidth="1"/>
    <col min="4" max="4" width="14.28515625" style="2" customWidth="1"/>
    <col min="5" max="6" width="14.5703125" style="2" bestFit="1" customWidth="1"/>
    <col min="7" max="7" width="15.140625" style="2" customWidth="1"/>
    <col min="8" max="16384" width="9.140625" style="2"/>
  </cols>
  <sheetData>
    <row r="1" spans="1:4" ht="23.25" x14ac:dyDescent="0.35">
      <c r="A1" s="1" t="s">
        <v>0</v>
      </c>
      <c r="B1" s="1"/>
      <c r="C1" s="1"/>
      <c r="D1" s="1"/>
    </row>
    <row r="2" spans="1:4" ht="23.25" x14ac:dyDescent="0.35">
      <c r="A2" s="1" t="s">
        <v>1</v>
      </c>
      <c r="B2" s="1"/>
      <c r="C2" s="1"/>
      <c r="D2" s="1"/>
    </row>
    <row r="3" spans="1:4" ht="23.25" x14ac:dyDescent="0.35">
      <c r="A3" s="57" t="s">
        <v>144</v>
      </c>
      <c r="B3" s="56"/>
      <c r="C3" s="56"/>
      <c r="D3" s="56"/>
    </row>
    <row r="4" spans="1:4" x14ac:dyDescent="0.25">
      <c r="A4" s="18" t="s">
        <v>2</v>
      </c>
      <c r="B4" s="18"/>
      <c r="C4" s="22" t="s">
        <v>141</v>
      </c>
      <c r="D4" s="16"/>
    </row>
    <row r="5" spans="1:4" x14ac:dyDescent="0.25">
      <c r="A5" s="19" t="s">
        <v>87</v>
      </c>
      <c r="B5" s="20"/>
      <c r="C5" s="23" t="s">
        <v>161</v>
      </c>
      <c r="D5" s="17"/>
    </row>
    <row r="6" spans="1:4" x14ac:dyDescent="0.25">
      <c r="A6" s="19" t="s">
        <v>88</v>
      </c>
      <c r="B6" s="20"/>
      <c r="C6" s="23" t="s">
        <v>162</v>
      </c>
      <c r="D6" s="17"/>
    </row>
    <row r="7" spans="1:4" x14ac:dyDescent="0.25">
      <c r="A7" s="19"/>
      <c r="B7" s="20"/>
      <c r="C7" s="26"/>
      <c r="D7" s="17"/>
    </row>
    <row r="8" spans="1:4" x14ac:dyDescent="0.25">
      <c r="A8" s="20"/>
      <c r="B8" s="21" t="s">
        <v>80</v>
      </c>
      <c r="C8" s="28"/>
      <c r="D8" s="17"/>
    </row>
    <row r="9" spans="1:4" x14ac:dyDescent="0.25">
      <c r="A9" s="20" t="s">
        <v>6</v>
      </c>
      <c r="B9" s="19" t="s">
        <v>81</v>
      </c>
      <c r="C9" s="25"/>
      <c r="D9" s="17"/>
    </row>
    <row r="10" spans="1:4" x14ac:dyDescent="0.25">
      <c r="A10" s="20" t="s">
        <v>8</v>
      </c>
      <c r="B10" s="19" t="s">
        <v>82</v>
      </c>
      <c r="C10" s="25"/>
      <c r="D10" s="17"/>
    </row>
    <row r="11" spans="1:4" x14ac:dyDescent="0.25">
      <c r="A11" s="20" t="s">
        <v>10</v>
      </c>
      <c r="B11" s="19" t="s">
        <v>83</v>
      </c>
      <c r="C11" s="25">
        <v>2021</v>
      </c>
      <c r="D11" s="17"/>
    </row>
    <row r="12" spans="1:4" x14ac:dyDescent="0.25">
      <c r="A12" s="20" t="s">
        <v>12</v>
      </c>
      <c r="B12" s="19" t="s">
        <v>142</v>
      </c>
      <c r="C12" s="50" t="s">
        <v>155</v>
      </c>
      <c r="D12" s="17"/>
    </row>
    <row r="13" spans="1:4" x14ac:dyDescent="0.25">
      <c r="A13" s="20" t="s">
        <v>14</v>
      </c>
      <c r="B13" s="19" t="s">
        <v>89</v>
      </c>
      <c r="C13" s="29" t="s">
        <v>90</v>
      </c>
      <c r="D13" s="17"/>
    </row>
    <row r="14" spans="1:4" x14ac:dyDescent="0.25">
      <c r="A14" s="20"/>
      <c r="B14" s="19"/>
      <c r="C14" s="30"/>
      <c r="D14" s="17"/>
    </row>
    <row r="15" spans="1:4" x14ac:dyDescent="0.25">
      <c r="A15" s="20"/>
      <c r="B15" s="21" t="s">
        <v>91</v>
      </c>
      <c r="C15" s="20"/>
      <c r="D15" s="17"/>
    </row>
    <row r="16" spans="1:4" x14ac:dyDescent="0.25">
      <c r="A16" s="20" t="s">
        <v>6</v>
      </c>
      <c r="B16" s="19" t="s">
        <v>84</v>
      </c>
      <c r="C16" s="27" t="s">
        <v>93</v>
      </c>
      <c r="D16" s="17"/>
    </row>
    <row r="17" spans="1:4" x14ac:dyDescent="0.25">
      <c r="A17" s="20" t="s">
        <v>8</v>
      </c>
      <c r="B17" s="19" t="s">
        <v>85</v>
      </c>
      <c r="C17" s="24" t="s">
        <v>86</v>
      </c>
      <c r="D17" s="17"/>
    </row>
    <row r="18" spans="1:4" x14ac:dyDescent="0.25">
      <c r="A18" s="20" t="s">
        <v>10</v>
      </c>
      <c r="B18" s="19" t="s">
        <v>92</v>
      </c>
      <c r="C18" s="29">
        <v>2</v>
      </c>
      <c r="D18" s="17"/>
    </row>
    <row r="19" spans="1:4" x14ac:dyDescent="0.25">
      <c r="A19" s="31" t="s">
        <v>94</v>
      </c>
      <c r="B19" s="31"/>
      <c r="C19" s="17"/>
      <c r="D19" s="17"/>
    </row>
    <row r="20" spans="1:4" x14ac:dyDescent="0.25">
      <c r="A20" s="31"/>
      <c r="B20" s="31"/>
      <c r="C20" s="17"/>
      <c r="D20" s="17"/>
    </row>
    <row r="21" spans="1:4" x14ac:dyDescent="0.25">
      <c r="A21" s="39" t="s">
        <v>95</v>
      </c>
      <c r="B21" s="32"/>
      <c r="C21" s="33"/>
      <c r="D21" s="17"/>
    </row>
    <row r="22" spans="1:4" x14ac:dyDescent="0.25">
      <c r="A22" s="34" t="s">
        <v>97</v>
      </c>
      <c r="B22" s="31"/>
      <c r="C22" s="35"/>
      <c r="D22" s="17"/>
    </row>
    <row r="23" spans="1:4" x14ac:dyDescent="0.25">
      <c r="A23" s="36" t="s">
        <v>98</v>
      </c>
      <c r="B23" s="37"/>
      <c r="C23" s="38"/>
      <c r="D23" s="17"/>
    </row>
    <row r="24" spans="1:4" x14ac:dyDescent="0.25">
      <c r="A24" s="19"/>
      <c r="B24" s="21" t="s">
        <v>99</v>
      </c>
      <c r="C24" s="20"/>
      <c r="D24" s="17"/>
    </row>
    <row r="25" spans="1:4" x14ac:dyDescent="0.25">
      <c r="A25" s="19">
        <v>1</v>
      </c>
      <c r="B25" s="19" t="s">
        <v>100</v>
      </c>
      <c r="C25" s="27" t="s">
        <v>157</v>
      </c>
      <c r="D25" s="17"/>
    </row>
    <row r="26" spans="1:4" x14ac:dyDescent="0.25">
      <c r="A26" s="19">
        <v>2</v>
      </c>
      <c r="B26" s="19" t="s">
        <v>101</v>
      </c>
      <c r="C26" s="24" t="s">
        <v>158</v>
      </c>
      <c r="D26" s="17"/>
    </row>
    <row r="27" spans="1:4" x14ac:dyDescent="0.25">
      <c r="A27" s="19">
        <v>3</v>
      </c>
      <c r="B27" s="19" t="s">
        <v>96</v>
      </c>
      <c r="C27" s="51">
        <v>1666.65</v>
      </c>
      <c r="D27" s="17"/>
    </row>
    <row r="28" spans="1:4" x14ac:dyDescent="0.25">
      <c r="A28" s="19">
        <v>4</v>
      </c>
      <c r="B28" s="19" t="s">
        <v>102</v>
      </c>
      <c r="C28" s="24" t="s">
        <v>159</v>
      </c>
      <c r="D28" s="17"/>
    </row>
    <row r="29" spans="1:4" x14ac:dyDescent="0.25">
      <c r="A29" s="19">
        <v>5</v>
      </c>
      <c r="B29" s="19" t="s">
        <v>103</v>
      </c>
      <c r="C29" s="29" t="s">
        <v>160</v>
      </c>
      <c r="D29" s="17"/>
    </row>
    <row r="30" spans="1:4" x14ac:dyDescent="0.25">
      <c r="A30" s="31"/>
      <c r="B30" s="31"/>
      <c r="C30" s="17"/>
      <c r="D30" s="17"/>
    </row>
    <row r="31" spans="1:4" x14ac:dyDescent="0.25">
      <c r="A31" s="160" t="s">
        <v>3</v>
      </c>
      <c r="B31" s="160"/>
      <c r="C31" s="160"/>
    </row>
    <row r="32" spans="1:4" ht="16.5" thickBot="1" x14ac:dyDescent="0.3"/>
    <row r="33" spans="1:4" ht="16.5" thickBot="1" x14ac:dyDescent="0.3">
      <c r="A33" s="3">
        <v>1</v>
      </c>
      <c r="B33" s="70" t="s">
        <v>4</v>
      </c>
      <c r="C33" s="70" t="s">
        <v>5</v>
      </c>
    </row>
    <row r="34" spans="1:4" ht="16.5" thickBot="1" x14ac:dyDescent="0.3">
      <c r="A34" s="4" t="s">
        <v>6</v>
      </c>
      <c r="B34" s="5" t="s">
        <v>7</v>
      </c>
      <c r="C34" s="52">
        <f>C27</f>
        <v>1666.65</v>
      </c>
    </row>
    <row r="35" spans="1:4" ht="16.5" thickBot="1" x14ac:dyDescent="0.3">
      <c r="A35" s="4" t="s">
        <v>8</v>
      </c>
      <c r="B35" s="5" t="s">
        <v>9</v>
      </c>
      <c r="C35" s="7"/>
    </row>
    <row r="36" spans="1:4" ht="16.5" thickBot="1" x14ac:dyDescent="0.3">
      <c r="A36" s="4" t="s">
        <v>10</v>
      </c>
      <c r="B36" s="5" t="s">
        <v>11</v>
      </c>
      <c r="C36" s="6"/>
    </row>
    <row r="37" spans="1:4" ht="16.5" thickBot="1" x14ac:dyDescent="0.3">
      <c r="A37" s="4" t="s">
        <v>12</v>
      </c>
      <c r="B37" s="5" t="s">
        <v>13</v>
      </c>
      <c r="C37" s="6"/>
    </row>
    <row r="38" spans="1:4" ht="16.5" thickBot="1" x14ac:dyDescent="0.3">
      <c r="A38" s="4" t="s">
        <v>14</v>
      </c>
      <c r="B38" s="5" t="s">
        <v>15</v>
      </c>
      <c r="C38" s="6"/>
    </row>
    <row r="39" spans="1:4" ht="16.5" thickBot="1" x14ac:dyDescent="0.3">
      <c r="A39" s="4"/>
      <c r="B39" s="5"/>
      <c r="C39" s="53"/>
    </row>
    <row r="40" spans="1:4" ht="16.5" thickBot="1" x14ac:dyDescent="0.3">
      <c r="A40" s="4" t="s">
        <v>16</v>
      </c>
      <c r="B40" s="5" t="s">
        <v>17</v>
      </c>
      <c r="C40" s="6"/>
    </row>
    <row r="41" spans="1:4" ht="16.5" thickBot="1" x14ac:dyDescent="0.3">
      <c r="A41" s="162" t="s">
        <v>18</v>
      </c>
      <c r="B41" s="163"/>
      <c r="C41" s="53">
        <f>SUM(C34:C40)</f>
        <v>1666.65</v>
      </c>
      <c r="D41" s="60"/>
    </row>
    <row r="42" spans="1:4" x14ac:dyDescent="0.25">
      <c r="A42" s="2" t="s">
        <v>104</v>
      </c>
    </row>
    <row r="44" spans="1:4" x14ac:dyDescent="0.25">
      <c r="A44" s="160" t="s">
        <v>19</v>
      </c>
      <c r="B44" s="160"/>
      <c r="C44" s="160"/>
    </row>
    <row r="45" spans="1:4" x14ac:dyDescent="0.25">
      <c r="A45" s="8"/>
    </row>
    <row r="46" spans="1:4" x14ac:dyDescent="0.25">
      <c r="A46" s="161" t="s">
        <v>20</v>
      </c>
      <c r="B46" s="161"/>
      <c r="C46" s="161"/>
    </row>
    <row r="47" spans="1:4" ht="16.5" thickBot="1" x14ac:dyDescent="0.3"/>
    <row r="48" spans="1:4" ht="16.5" thickBot="1" x14ac:dyDescent="0.3">
      <c r="A48" s="3" t="s">
        <v>21</v>
      </c>
      <c r="B48" s="70" t="s">
        <v>22</v>
      </c>
      <c r="C48" s="70" t="s">
        <v>5</v>
      </c>
    </row>
    <row r="49" spans="1:4" ht="16.5" thickBot="1" x14ac:dyDescent="0.3">
      <c r="A49" s="4" t="s">
        <v>6</v>
      </c>
      <c r="B49" s="5" t="s">
        <v>23</v>
      </c>
      <c r="C49" s="7">
        <f>C34*1/12</f>
        <v>138.88999999999999</v>
      </c>
    </row>
    <row r="50" spans="1:4" ht="16.5" thickBot="1" x14ac:dyDescent="0.3">
      <c r="A50" s="4" t="s">
        <v>8</v>
      </c>
      <c r="B50" s="5" t="s">
        <v>24</v>
      </c>
      <c r="C50" s="7">
        <f>C34*1/12</f>
        <v>138.88999999999999</v>
      </c>
    </row>
    <row r="51" spans="1:4" ht="16.5" thickBot="1" x14ac:dyDescent="0.3">
      <c r="A51" s="4" t="s">
        <v>10</v>
      </c>
      <c r="B51" s="5" t="s">
        <v>25</v>
      </c>
      <c r="C51" s="7">
        <f>C34*1/3*1/12</f>
        <v>46.3</v>
      </c>
    </row>
    <row r="52" spans="1:4" ht="16.5" thickBot="1" x14ac:dyDescent="0.3">
      <c r="A52" s="162" t="s">
        <v>18</v>
      </c>
      <c r="B52" s="163"/>
      <c r="C52" s="7">
        <f>SUM(C49:C51)</f>
        <v>324.08</v>
      </c>
      <c r="D52" s="60"/>
    </row>
    <row r="53" spans="1:4" x14ac:dyDescent="0.25">
      <c r="A53" s="2" t="s">
        <v>105</v>
      </c>
      <c r="B53" s="45"/>
      <c r="C53" s="45"/>
    </row>
    <row r="54" spans="1:4" x14ac:dyDescent="0.25">
      <c r="A54" s="2" t="s">
        <v>106</v>
      </c>
      <c r="B54" s="46"/>
      <c r="C54" s="46"/>
    </row>
    <row r="55" spans="1:4" x14ac:dyDescent="0.25">
      <c r="A55" s="2" t="s">
        <v>107</v>
      </c>
      <c r="B55" s="42"/>
      <c r="C55" s="42"/>
    </row>
    <row r="57" spans="1:4" x14ac:dyDescent="0.25">
      <c r="A57" s="165" t="s">
        <v>26</v>
      </c>
      <c r="B57" s="165"/>
      <c r="C57" s="165"/>
      <c r="D57" s="165"/>
    </row>
    <row r="58" spans="1:4" ht="16.5" thickBot="1" x14ac:dyDescent="0.3"/>
    <row r="59" spans="1:4" ht="16.5" thickBot="1" x14ac:dyDescent="0.3">
      <c r="A59" s="3" t="s">
        <v>27</v>
      </c>
      <c r="B59" s="70" t="s">
        <v>28</v>
      </c>
      <c r="C59" s="70" t="s">
        <v>29</v>
      </c>
      <c r="D59" s="70" t="s">
        <v>5</v>
      </c>
    </row>
    <row r="60" spans="1:4" ht="16.5" thickBot="1" x14ac:dyDescent="0.3">
      <c r="A60" s="4" t="s">
        <v>6</v>
      </c>
      <c r="B60" s="5" t="s">
        <v>30</v>
      </c>
      <c r="C60" s="9">
        <v>0.2</v>
      </c>
      <c r="D60" s="53">
        <f>($C$41+$C$52)*C60</f>
        <v>398.15</v>
      </c>
    </row>
    <row r="61" spans="1:4" ht="16.5" thickBot="1" x14ac:dyDescent="0.3">
      <c r="A61" s="4" t="s">
        <v>8</v>
      </c>
      <c r="B61" s="5" t="s">
        <v>31</v>
      </c>
      <c r="C61" s="9">
        <v>2.5000000000000001E-2</v>
      </c>
      <c r="D61" s="53">
        <f t="shared" ref="D61:D67" si="0">($C$41+$C$52)*C61</f>
        <v>49.77</v>
      </c>
    </row>
    <row r="62" spans="1:4" ht="16.5" thickBot="1" x14ac:dyDescent="0.3">
      <c r="A62" s="4" t="s">
        <v>10</v>
      </c>
      <c r="B62" s="5" t="s">
        <v>32</v>
      </c>
      <c r="C62" s="9">
        <v>0.03</v>
      </c>
      <c r="D62" s="53">
        <f t="shared" si="0"/>
        <v>59.72</v>
      </c>
    </row>
    <row r="63" spans="1:4" ht="16.5" thickBot="1" x14ac:dyDescent="0.3">
      <c r="A63" s="4" t="s">
        <v>12</v>
      </c>
      <c r="B63" s="5" t="s">
        <v>33</v>
      </c>
      <c r="C63" s="9">
        <v>1.4999999999999999E-2</v>
      </c>
      <c r="D63" s="53">
        <f t="shared" si="0"/>
        <v>29.86</v>
      </c>
    </row>
    <row r="64" spans="1:4" ht="16.5" thickBot="1" x14ac:dyDescent="0.3">
      <c r="A64" s="4" t="s">
        <v>14</v>
      </c>
      <c r="B64" s="5" t="s">
        <v>34</v>
      </c>
      <c r="C64" s="9">
        <v>0.01</v>
      </c>
      <c r="D64" s="53">
        <f t="shared" si="0"/>
        <v>19.91</v>
      </c>
    </row>
    <row r="65" spans="1:4" ht="16.5" thickBot="1" x14ac:dyDescent="0.3">
      <c r="A65" s="4" t="s">
        <v>35</v>
      </c>
      <c r="B65" s="5" t="s">
        <v>36</v>
      </c>
      <c r="C65" s="9">
        <v>6.0000000000000001E-3</v>
      </c>
      <c r="D65" s="53">
        <f t="shared" si="0"/>
        <v>11.94</v>
      </c>
    </row>
    <row r="66" spans="1:4" ht="16.5" thickBot="1" x14ac:dyDescent="0.3">
      <c r="A66" s="4" t="s">
        <v>16</v>
      </c>
      <c r="B66" s="5" t="s">
        <v>37</v>
      </c>
      <c r="C66" s="9">
        <v>2E-3</v>
      </c>
      <c r="D66" s="53">
        <f t="shared" si="0"/>
        <v>3.98</v>
      </c>
    </row>
    <row r="67" spans="1:4" ht="16.5" thickBot="1" x14ac:dyDescent="0.3">
      <c r="A67" s="4" t="s">
        <v>38</v>
      </c>
      <c r="B67" s="5" t="s">
        <v>39</v>
      </c>
      <c r="C67" s="9">
        <v>0.08</v>
      </c>
      <c r="D67" s="53">
        <f t="shared" si="0"/>
        <v>159.26</v>
      </c>
    </row>
    <row r="68" spans="1:4" ht="16.5" thickBot="1" x14ac:dyDescent="0.3">
      <c r="A68" s="162" t="s">
        <v>40</v>
      </c>
      <c r="B68" s="163"/>
      <c r="C68" s="9">
        <f>SUM(C60:C67)</f>
        <v>0.36799999999999999</v>
      </c>
      <c r="D68" s="53">
        <f>SUM(D60:D67)</f>
        <v>732.59</v>
      </c>
    </row>
    <row r="69" spans="1:4" x14ac:dyDescent="0.25">
      <c r="A69" s="2" t="s">
        <v>108</v>
      </c>
      <c r="B69" s="40"/>
      <c r="C69" s="44"/>
      <c r="D69" s="41"/>
    </row>
    <row r="70" spans="1:4" x14ac:dyDescent="0.25">
      <c r="A70" s="2" t="s">
        <v>109</v>
      </c>
      <c r="B70" s="40"/>
      <c r="C70" s="44"/>
      <c r="D70" s="41"/>
    </row>
    <row r="71" spans="1:4" x14ac:dyDescent="0.25">
      <c r="A71" s="2" t="s">
        <v>110</v>
      </c>
    </row>
    <row r="73" spans="1:4" x14ac:dyDescent="0.25">
      <c r="A73" s="161" t="s">
        <v>41</v>
      </c>
      <c r="B73" s="161"/>
      <c r="C73" s="161"/>
    </row>
    <row r="74" spans="1:4" ht="16.5" thickBot="1" x14ac:dyDescent="0.3"/>
    <row r="75" spans="1:4" ht="16.5" thickBot="1" x14ac:dyDescent="0.3">
      <c r="A75" s="3" t="s">
        <v>42</v>
      </c>
      <c r="B75" s="70" t="s">
        <v>43</v>
      </c>
      <c r="C75" s="70" t="s">
        <v>5</v>
      </c>
    </row>
    <row r="76" spans="1:4" ht="16.5" thickBot="1" x14ac:dyDescent="0.3">
      <c r="A76" s="4" t="s">
        <v>6</v>
      </c>
      <c r="B76" s="5" t="s">
        <v>44</v>
      </c>
      <c r="C76" s="53">
        <f>(4.5*2*22)-C41*6/100</f>
        <v>98</v>
      </c>
      <c r="D76" s="54"/>
    </row>
    <row r="77" spans="1:4" ht="16.5" thickBot="1" x14ac:dyDescent="0.3">
      <c r="A77" s="4" t="s">
        <v>8</v>
      </c>
      <c r="B77" s="5" t="s">
        <v>45</v>
      </c>
      <c r="C77" s="53">
        <f>(22*18.23)-(22*18.23*1/100)</f>
        <v>397.05</v>
      </c>
    </row>
    <row r="78" spans="1:4" ht="16.5" thickBot="1" x14ac:dyDescent="0.3">
      <c r="A78" s="4" t="s">
        <v>10</v>
      </c>
      <c r="B78" s="10" t="s">
        <v>46</v>
      </c>
      <c r="C78" s="53">
        <v>8.9</v>
      </c>
    </row>
    <row r="79" spans="1:4" ht="16.5" thickBot="1" x14ac:dyDescent="0.3">
      <c r="A79" s="4" t="s">
        <v>12</v>
      </c>
      <c r="B79" s="11" t="s">
        <v>47</v>
      </c>
      <c r="C79" s="53">
        <v>11</v>
      </c>
    </row>
    <row r="80" spans="1:4" ht="16.5" thickBot="1" x14ac:dyDescent="0.3">
      <c r="A80" s="4" t="s">
        <v>14</v>
      </c>
      <c r="B80" s="11" t="s">
        <v>48</v>
      </c>
      <c r="C80" s="53">
        <f>C41*5/100</f>
        <v>83.33</v>
      </c>
    </row>
    <row r="81" spans="1:5" ht="32.25" thickBot="1" x14ac:dyDescent="0.3">
      <c r="A81" s="4" t="s">
        <v>35</v>
      </c>
      <c r="B81" s="5" t="s">
        <v>143</v>
      </c>
      <c r="C81" s="53">
        <f>140*7</f>
        <v>980</v>
      </c>
    </row>
    <row r="82" spans="1:5" ht="16.5" thickBot="1" x14ac:dyDescent="0.3">
      <c r="A82" s="67" t="s">
        <v>16</v>
      </c>
      <c r="B82" s="5" t="s">
        <v>147</v>
      </c>
      <c r="C82" s="53">
        <f>165*2/12</f>
        <v>27.5</v>
      </c>
    </row>
    <row r="83" spans="1:5" ht="16.5" thickBot="1" x14ac:dyDescent="0.3">
      <c r="A83" s="162" t="s">
        <v>18</v>
      </c>
      <c r="B83" s="163"/>
      <c r="C83" s="53">
        <f>SUM(C76:C82)</f>
        <v>1605.78</v>
      </c>
      <c r="D83" s="60"/>
    </row>
    <row r="84" spans="1:5" x14ac:dyDescent="0.25">
      <c r="A84" s="2" t="s">
        <v>111</v>
      </c>
      <c r="B84" s="40"/>
      <c r="C84" s="41"/>
    </row>
    <row r="85" spans="1:5" x14ac:dyDescent="0.25">
      <c r="A85" s="2" t="s">
        <v>112</v>
      </c>
    </row>
    <row r="86" spans="1:5" x14ac:dyDescent="0.25">
      <c r="A86" s="2" t="s">
        <v>163</v>
      </c>
    </row>
    <row r="88" spans="1:5" x14ac:dyDescent="0.25">
      <c r="A88" s="161" t="s">
        <v>49</v>
      </c>
      <c r="B88" s="161"/>
      <c r="C88" s="161"/>
    </row>
    <row r="89" spans="1:5" ht="16.5" thickBot="1" x14ac:dyDescent="0.3"/>
    <row r="90" spans="1:5" ht="16.5" thickBot="1" x14ac:dyDescent="0.3">
      <c r="A90" s="3">
        <v>2</v>
      </c>
      <c r="B90" s="70" t="s">
        <v>50</v>
      </c>
      <c r="C90" s="70" t="s">
        <v>5</v>
      </c>
    </row>
    <row r="91" spans="1:5" ht="16.5" thickBot="1" x14ac:dyDescent="0.3">
      <c r="A91" s="4" t="s">
        <v>21</v>
      </c>
      <c r="B91" s="5" t="s">
        <v>22</v>
      </c>
      <c r="C91" s="53">
        <f>C52</f>
        <v>324.08</v>
      </c>
    </row>
    <row r="92" spans="1:5" ht="16.5" thickBot="1" x14ac:dyDescent="0.3">
      <c r="A92" s="4" t="s">
        <v>27</v>
      </c>
      <c r="B92" s="5" t="s">
        <v>28</v>
      </c>
      <c r="C92" s="53">
        <f>D68</f>
        <v>732.59</v>
      </c>
    </row>
    <row r="93" spans="1:5" ht="16.5" thickBot="1" x14ac:dyDescent="0.3">
      <c r="A93" s="4" t="s">
        <v>42</v>
      </c>
      <c r="B93" s="5" t="s">
        <v>43</v>
      </c>
      <c r="C93" s="53">
        <f>C83</f>
        <v>1605.78</v>
      </c>
    </row>
    <row r="94" spans="1:5" ht="16.5" thickBot="1" x14ac:dyDescent="0.3">
      <c r="A94" s="162" t="s">
        <v>18</v>
      </c>
      <c r="B94" s="163"/>
      <c r="C94" s="53">
        <f>SUM(C91:C93)</f>
        <v>2662.45</v>
      </c>
    </row>
    <row r="95" spans="1:5" x14ac:dyDescent="0.25">
      <c r="A95" s="12"/>
      <c r="E95" s="54"/>
    </row>
    <row r="96" spans="1:5" x14ac:dyDescent="0.25">
      <c r="E96" s="54"/>
    </row>
    <row r="97" spans="1:7" x14ac:dyDescent="0.25">
      <c r="A97" s="160" t="s">
        <v>51</v>
      </c>
      <c r="B97" s="160"/>
      <c r="C97" s="160"/>
      <c r="D97" s="59"/>
    </row>
    <row r="98" spans="1:7" ht="16.5" thickBot="1" x14ac:dyDescent="0.3">
      <c r="D98" s="60"/>
    </row>
    <row r="99" spans="1:7" ht="16.5" thickBot="1" x14ac:dyDescent="0.3">
      <c r="A99" s="3">
        <v>3</v>
      </c>
      <c r="B99" s="70" t="s">
        <v>52</v>
      </c>
      <c r="C99" s="70" t="s">
        <v>5</v>
      </c>
      <c r="F99" s="54"/>
    </row>
    <row r="100" spans="1:7" ht="16.5" thickBot="1" x14ac:dyDescent="0.3">
      <c r="A100" s="4" t="s">
        <v>6</v>
      </c>
      <c r="B100" s="13" t="s">
        <v>53</v>
      </c>
      <c r="C100" s="55">
        <f>((((C41+C41/12+C41/12+1/3*C41/12))+C93-C81)/12)*50/100</f>
        <v>109.02</v>
      </c>
      <c r="D100" s="60"/>
      <c r="F100" s="54"/>
    </row>
    <row r="101" spans="1:7" ht="16.5" thickBot="1" x14ac:dyDescent="0.3">
      <c r="A101" s="4" t="s">
        <v>8</v>
      </c>
      <c r="B101" s="13" t="s">
        <v>54</v>
      </c>
      <c r="C101" s="55">
        <f>((C41+C41/12+C41/12+1/3*C41/12)*0.08/12)*50/100</f>
        <v>6.64</v>
      </c>
      <c r="D101" s="54"/>
      <c r="F101" s="54"/>
    </row>
    <row r="102" spans="1:7" ht="16.5" thickBot="1" x14ac:dyDescent="0.3">
      <c r="A102" s="4" t="s">
        <v>10</v>
      </c>
      <c r="B102" s="13" t="s">
        <v>148</v>
      </c>
      <c r="C102" s="62">
        <f>D67*40/100*50/100</f>
        <v>31.85</v>
      </c>
      <c r="D102" s="54"/>
      <c r="E102" s="54"/>
    </row>
    <row r="103" spans="1:7" ht="16.5" thickBot="1" x14ac:dyDescent="0.3">
      <c r="A103" s="4" t="s">
        <v>12</v>
      </c>
      <c r="B103" s="13" t="s">
        <v>55</v>
      </c>
      <c r="C103" s="55">
        <f>7/30/12*(C41+C94-C81)*50/100</f>
        <v>32.56</v>
      </c>
      <c r="D103" s="61"/>
    </row>
    <row r="104" spans="1:7" ht="16.5" thickBot="1" x14ac:dyDescent="0.3">
      <c r="A104" s="4" t="s">
        <v>14</v>
      </c>
      <c r="B104" s="13" t="s">
        <v>56</v>
      </c>
      <c r="C104" s="55">
        <f>C103*C68*50/100</f>
        <v>5.99</v>
      </c>
    </row>
    <row r="105" spans="1:7" ht="16.5" thickBot="1" x14ac:dyDescent="0.3">
      <c r="A105" s="4" t="s">
        <v>35</v>
      </c>
      <c r="B105" s="13" t="s">
        <v>149</v>
      </c>
      <c r="C105" s="62">
        <f>D67*40/100*50/100</f>
        <v>31.85</v>
      </c>
    </row>
    <row r="106" spans="1:7" ht="16.5" thickBot="1" x14ac:dyDescent="0.3">
      <c r="A106" s="162" t="s">
        <v>18</v>
      </c>
      <c r="B106" s="163"/>
      <c r="C106" s="55">
        <f>SUM(C100:C105)</f>
        <v>217.91</v>
      </c>
      <c r="G106" s="49"/>
    </row>
    <row r="109" spans="1:7" x14ac:dyDescent="0.25">
      <c r="A109" s="160" t="s">
        <v>57</v>
      </c>
      <c r="B109" s="160"/>
      <c r="C109" s="160"/>
    </row>
    <row r="110" spans="1:7" x14ac:dyDescent="0.25">
      <c r="A110" s="2" t="s">
        <v>113</v>
      </c>
    </row>
    <row r="112" spans="1:7" x14ac:dyDescent="0.25">
      <c r="A112" s="161" t="s">
        <v>114</v>
      </c>
      <c r="B112" s="161"/>
      <c r="C112" s="161"/>
    </row>
    <row r="113" spans="1:7" ht="16.5" thickBot="1" x14ac:dyDescent="0.3">
      <c r="A113" s="8"/>
    </row>
    <row r="114" spans="1:7" ht="16.5" thickBot="1" x14ac:dyDescent="0.3">
      <c r="A114" s="3" t="s">
        <v>58</v>
      </c>
      <c r="B114" s="70" t="s">
        <v>59</v>
      </c>
      <c r="C114" s="70" t="s">
        <v>5</v>
      </c>
    </row>
    <row r="115" spans="1:7" ht="16.5" thickBot="1" x14ac:dyDescent="0.3">
      <c r="A115" s="4" t="s">
        <v>6</v>
      </c>
      <c r="B115" s="5" t="s">
        <v>115</v>
      </c>
      <c r="C115" s="62">
        <f>(C41+C94-C81+C106)/30*30/12</f>
        <v>297.25</v>
      </c>
      <c r="D115" s="54"/>
      <c r="E115" s="54"/>
      <c r="F115" s="54"/>
      <c r="G115" s="54"/>
    </row>
    <row r="116" spans="1:7" ht="16.5" thickBot="1" x14ac:dyDescent="0.3">
      <c r="A116" s="4" t="s">
        <v>8</v>
      </c>
      <c r="B116" s="5" t="s">
        <v>116</v>
      </c>
      <c r="C116" s="62">
        <f>(C41+C94-C81+C106)/30/12</f>
        <v>9.91</v>
      </c>
    </row>
    <row r="117" spans="1:7" ht="16.5" thickBot="1" x14ac:dyDescent="0.3">
      <c r="A117" s="4" t="s">
        <v>10</v>
      </c>
      <c r="B117" s="5" t="s">
        <v>117</v>
      </c>
      <c r="C117" s="62">
        <f>(C41+C94-C81+C106)/30/12</f>
        <v>9.91</v>
      </c>
    </row>
    <row r="118" spans="1:7" ht="16.5" thickBot="1" x14ac:dyDescent="0.3">
      <c r="A118" s="4" t="s">
        <v>12</v>
      </c>
      <c r="B118" s="5" t="s">
        <v>118</v>
      </c>
      <c r="C118" s="62">
        <f>(C41+C94-C81+C106)/30/12</f>
        <v>9.91</v>
      </c>
    </row>
    <row r="119" spans="1:7" ht="16.5" thickBot="1" x14ac:dyDescent="0.3">
      <c r="A119" s="4" t="s">
        <v>14</v>
      </c>
      <c r="B119" s="5" t="s">
        <v>119</v>
      </c>
      <c r="C119" s="62">
        <f>(C41+C94-C81+C106)/30/12</f>
        <v>9.91</v>
      </c>
    </row>
    <row r="120" spans="1:7" ht="17.25" customHeight="1" thickBot="1" x14ac:dyDescent="0.3">
      <c r="A120" s="4" t="s">
        <v>35</v>
      </c>
      <c r="B120" s="5" t="s">
        <v>156</v>
      </c>
      <c r="C120" s="62">
        <f>(C41+C94-C81+C106)/30/12</f>
        <v>9.91</v>
      </c>
    </row>
    <row r="121" spans="1:7" ht="16.5" thickBot="1" x14ac:dyDescent="0.3">
      <c r="A121" s="162" t="s">
        <v>40</v>
      </c>
      <c r="B121" s="163"/>
      <c r="C121" s="53">
        <f>SUM(C115:C120)</f>
        <v>346.8</v>
      </c>
    </row>
    <row r="124" spans="1:7" x14ac:dyDescent="0.25">
      <c r="A124" s="161" t="s">
        <v>120</v>
      </c>
      <c r="B124" s="161"/>
      <c r="C124" s="161"/>
    </row>
    <row r="125" spans="1:7" ht="16.5" thickBot="1" x14ac:dyDescent="0.3">
      <c r="A125" s="8"/>
    </row>
    <row r="126" spans="1:7" ht="16.5" thickBot="1" x14ac:dyDescent="0.3">
      <c r="A126" s="3" t="s">
        <v>60</v>
      </c>
      <c r="B126" s="70" t="s">
        <v>61</v>
      </c>
      <c r="C126" s="77" t="s">
        <v>5</v>
      </c>
    </row>
    <row r="127" spans="1:7" ht="16.5" thickBot="1" x14ac:dyDescent="0.3">
      <c r="A127" s="4" t="s">
        <v>6</v>
      </c>
      <c r="B127" s="76" t="s">
        <v>121</v>
      </c>
      <c r="C127" s="78">
        <v>0</v>
      </c>
    </row>
    <row r="128" spans="1:7" ht="16.5" thickBot="1" x14ac:dyDescent="0.3">
      <c r="A128" s="162" t="s">
        <v>18</v>
      </c>
      <c r="B128" s="164"/>
      <c r="C128" s="79"/>
    </row>
    <row r="131" spans="1:3" x14ac:dyDescent="0.25">
      <c r="A131" s="161" t="s">
        <v>62</v>
      </c>
      <c r="B131" s="161"/>
      <c r="C131" s="161"/>
    </row>
    <row r="132" spans="1:3" ht="16.5" thickBot="1" x14ac:dyDescent="0.3">
      <c r="A132" s="8"/>
    </row>
    <row r="133" spans="1:3" ht="16.5" thickBot="1" x14ac:dyDescent="0.3">
      <c r="A133" s="3">
        <v>4</v>
      </c>
      <c r="B133" s="70" t="s">
        <v>63</v>
      </c>
      <c r="C133" s="70" t="s">
        <v>5</v>
      </c>
    </row>
    <row r="134" spans="1:3" ht="16.5" thickBot="1" x14ac:dyDescent="0.3">
      <c r="A134" s="4" t="s">
        <v>58</v>
      </c>
      <c r="B134" s="5" t="s">
        <v>122</v>
      </c>
      <c r="C134" s="53">
        <f>C121</f>
        <v>346.8</v>
      </c>
    </row>
    <row r="135" spans="1:3" ht="16.5" thickBot="1" x14ac:dyDescent="0.3">
      <c r="A135" s="4" t="s">
        <v>60</v>
      </c>
      <c r="B135" s="5" t="s">
        <v>123</v>
      </c>
      <c r="C135" s="55">
        <f>C127</f>
        <v>0</v>
      </c>
    </row>
    <row r="136" spans="1:3" ht="16.5" thickBot="1" x14ac:dyDescent="0.3">
      <c r="A136" s="162" t="s">
        <v>18</v>
      </c>
      <c r="B136" s="163"/>
      <c r="C136" s="53">
        <f>SUM(C134:C135)</f>
        <v>346.8</v>
      </c>
    </row>
    <row r="139" spans="1:3" x14ac:dyDescent="0.25">
      <c r="A139" s="160" t="s">
        <v>64</v>
      </c>
      <c r="B139" s="160"/>
      <c r="C139" s="160"/>
    </row>
    <row r="140" spans="1:3" ht="16.5" thickBot="1" x14ac:dyDescent="0.3"/>
    <row r="141" spans="1:3" ht="16.5" thickBot="1" x14ac:dyDescent="0.3">
      <c r="A141" s="3">
        <v>5</v>
      </c>
      <c r="B141" s="14" t="s">
        <v>65</v>
      </c>
      <c r="C141" s="70" t="s">
        <v>5</v>
      </c>
    </row>
    <row r="142" spans="1:3" ht="16.5" thickBot="1" x14ac:dyDescent="0.3">
      <c r="A142" s="4" t="s">
        <v>6</v>
      </c>
      <c r="B142" s="5" t="s">
        <v>66</v>
      </c>
      <c r="C142" s="53">
        <v>50</v>
      </c>
    </row>
    <row r="143" spans="1:3" ht="16.5" thickBot="1" x14ac:dyDescent="0.3">
      <c r="A143" s="4" t="s">
        <v>8</v>
      </c>
      <c r="B143" s="5" t="s">
        <v>67</v>
      </c>
      <c r="C143" s="53"/>
    </row>
    <row r="144" spans="1:3" ht="16.5" thickBot="1" x14ac:dyDescent="0.3">
      <c r="A144" s="4" t="s">
        <v>10</v>
      </c>
      <c r="B144" s="5" t="s">
        <v>145</v>
      </c>
      <c r="C144" s="53">
        <f>(369.99+397.51+459)/3/12+(30+25+30)/3</f>
        <v>62.4</v>
      </c>
    </row>
    <row r="145" spans="1:7" ht="16.5" thickBot="1" x14ac:dyDescent="0.3">
      <c r="A145" s="4" t="s">
        <v>12</v>
      </c>
      <c r="B145" s="5" t="s">
        <v>17</v>
      </c>
      <c r="C145" s="53"/>
    </row>
    <row r="146" spans="1:7" ht="16.5" thickBot="1" x14ac:dyDescent="0.3">
      <c r="A146" s="162" t="s">
        <v>40</v>
      </c>
      <c r="B146" s="163"/>
      <c r="C146" s="53">
        <f>SUM(C142:C145)</f>
        <v>112.4</v>
      </c>
    </row>
    <row r="147" spans="1:7" x14ac:dyDescent="0.25">
      <c r="A147" s="2" t="s">
        <v>124</v>
      </c>
    </row>
    <row r="149" spans="1:7" x14ac:dyDescent="0.25">
      <c r="A149" s="160" t="s">
        <v>68</v>
      </c>
      <c r="B149" s="160"/>
      <c r="C149" s="160"/>
    </row>
    <row r="150" spans="1:7" ht="16.5" thickBot="1" x14ac:dyDescent="0.3"/>
    <row r="151" spans="1:7" ht="16.5" thickBot="1" x14ac:dyDescent="0.3">
      <c r="A151" s="3">
        <v>6</v>
      </c>
      <c r="B151" s="14" t="s">
        <v>69</v>
      </c>
      <c r="C151" s="70" t="s">
        <v>29</v>
      </c>
      <c r="D151" s="70" t="s">
        <v>5</v>
      </c>
    </row>
    <row r="152" spans="1:7" ht="16.5" thickBot="1" x14ac:dyDescent="0.3">
      <c r="A152" s="4" t="s">
        <v>6</v>
      </c>
      <c r="B152" s="5" t="s">
        <v>70</v>
      </c>
      <c r="C152" s="9">
        <v>0.06</v>
      </c>
      <c r="D152" s="69">
        <f>C170*C152</f>
        <v>300.37</v>
      </c>
    </row>
    <row r="153" spans="1:7" ht="16.5" thickBot="1" x14ac:dyDescent="0.3">
      <c r="A153" s="4" t="s">
        <v>8</v>
      </c>
      <c r="B153" s="5" t="s">
        <v>71</v>
      </c>
      <c r="C153" s="9">
        <v>6.7900000000000002E-2</v>
      </c>
      <c r="D153" s="69">
        <f>($C$170+$D$152)/(1-$C$153-$C$155-$C$157)*C153</f>
        <v>456.33</v>
      </c>
    </row>
    <row r="154" spans="1:7" ht="16.5" thickBot="1" x14ac:dyDescent="0.3">
      <c r="A154" s="4" t="s">
        <v>10</v>
      </c>
      <c r="B154" s="5" t="s">
        <v>72</v>
      </c>
      <c r="C154" s="9"/>
      <c r="D154" s="53"/>
    </row>
    <row r="155" spans="1:7" ht="16.5" thickBot="1" x14ac:dyDescent="0.3">
      <c r="A155" s="4"/>
      <c r="B155" s="5" t="s">
        <v>146</v>
      </c>
      <c r="C155" s="66">
        <v>9.2499999999999999E-2</v>
      </c>
      <c r="D155" s="69">
        <f>($C$170+$D$152)/(1-$C$153-$C$155-$C$157)*C155</f>
        <v>621.65</v>
      </c>
      <c r="E155" s="54"/>
      <c r="F155" s="54"/>
      <c r="G155" s="54"/>
    </row>
    <row r="156" spans="1:7" ht="16.5" thickBot="1" x14ac:dyDescent="0.3">
      <c r="A156" s="4"/>
      <c r="B156" s="5" t="s">
        <v>73</v>
      </c>
      <c r="C156" s="6"/>
      <c r="D156" s="53"/>
      <c r="E156" s="54"/>
      <c r="F156" s="54"/>
    </row>
    <row r="157" spans="1:7" ht="16.5" thickBot="1" x14ac:dyDescent="0.3">
      <c r="A157" s="4"/>
      <c r="B157" s="5" t="s">
        <v>74</v>
      </c>
      <c r="C157" s="9">
        <v>0.05</v>
      </c>
      <c r="D157" s="69">
        <f>($C$170+$D$152)/(1-$C$153-$C$155-$C$157)*C157</f>
        <v>336.03</v>
      </c>
    </row>
    <row r="158" spans="1:7" ht="16.5" thickBot="1" x14ac:dyDescent="0.3">
      <c r="A158" s="162" t="s">
        <v>40</v>
      </c>
      <c r="B158" s="163"/>
      <c r="C158" s="9">
        <f>C152+C153+C155+C157</f>
        <v>0.27039999999999997</v>
      </c>
      <c r="D158" s="55">
        <f>SUM(D152:D157)</f>
        <v>1714.38</v>
      </c>
    </row>
    <row r="159" spans="1:7" x14ac:dyDescent="0.25">
      <c r="A159" s="2" t="s">
        <v>125</v>
      </c>
      <c r="B159" s="40"/>
      <c r="C159" s="43"/>
      <c r="D159" s="47"/>
    </row>
    <row r="160" spans="1:7" x14ac:dyDescent="0.25">
      <c r="A160" s="2" t="s">
        <v>126</v>
      </c>
    </row>
    <row r="162" spans="1:6" x14ac:dyDescent="0.25">
      <c r="A162" s="160" t="s">
        <v>75</v>
      </c>
      <c r="B162" s="160"/>
      <c r="C162" s="160"/>
    </row>
    <row r="163" spans="1:6" ht="16.5" thickBot="1" x14ac:dyDescent="0.3"/>
    <row r="164" spans="1:6" ht="16.5" thickBot="1" x14ac:dyDescent="0.3">
      <c r="A164" s="3"/>
      <c r="B164" s="70" t="s">
        <v>76</v>
      </c>
      <c r="C164" s="70" t="s">
        <v>5</v>
      </c>
    </row>
    <row r="165" spans="1:6" ht="16.5" thickBot="1" x14ac:dyDescent="0.3">
      <c r="A165" s="68" t="s">
        <v>6</v>
      </c>
      <c r="B165" s="5" t="s">
        <v>3</v>
      </c>
      <c r="C165" s="63">
        <f>C41</f>
        <v>1666.65</v>
      </c>
    </row>
    <row r="166" spans="1:6" ht="16.5" thickBot="1" x14ac:dyDescent="0.3">
      <c r="A166" s="68" t="s">
        <v>8</v>
      </c>
      <c r="B166" s="5" t="s">
        <v>19</v>
      </c>
      <c r="C166" s="63">
        <f>C94</f>
        <v>2662.45</v>
      </c>
    </row>
    <row r="167" spans="1:6" ht="16.5" thickBot="1" x14ac:dyDescent="0.3">
      <c r="A167" s="68" t="s">
        <v>10</v>
      </c>
      <c r="B167" s="5" t="s">
        <v>51</v>
      </c>
      <c r="C167" s="64">
        <f>C106</f>
        <v>217.91</v>
      </c>
    </row>
    <row r="168" spans="1:6" ht="16.5" thickBot="1" x14ac:dyDescent="0.3">
      <c r="A168" s="68" t="s">
        <v>12</v>
      </c>
      <c r="B168" s="5" t="s">
        <v>57</v>
      </c>
      <c r="C168" s="63">
        <f>C136</f>
        <v>346.8</v>
      </c>
    </row>
    <row r="169" spans="1:6" ht="16.5" thickBot="1" x14ac:dyDescent="0.3">
      <c r="A169" s="68" t="s">
        <v>14</v>
      </c>
      <c r="B169" s="5" t="s">
        <v>64</v>
      </c>
      <c r="C169" s="63">
        <f>C146</f>
        <v>112.4</v>
      </c>
    </row>
    <row r="170" spans="1:6" ht="16.5" thickBot="1" x14ac:dyDescent="0.3">
      <c r="A170" s="162" t="s">
        <v>77</v>
      </c>
      <c r="B170" s="163"/>
      <c r="C170" s="63">
        <f>SUM(C165:C169)</f>
        <v>5006.21</v>
      </c>
    </row>
    <row r="171" spans="1:6" ht="16.5" thickBot="1" x14ac:dyDescent="0.3">
      <c r="A171" s="68" t="s">
        <v>35</v>
      </c>
      <c r="B171" s="5" t="s">
        <v>78</v>
      </c>
      <c r="C171" s="64">
        <f>D158</f>
        <v>1714.38</v>
      </c>
    </row>
    <row r="172" spans="1:6" ht="16.5" thickBot="1" x14ac:dyDescent="0.3">
      <c r="A172" s="162" t="s">
        <v>79</v>
      </c>
      <c r="B172" s="163"/>
      <c r="C172" s="65">
        <f>C171+C170</f>
        <v>6720.59</v>
      </c>
      <c r="D172" s="49"/>
      <c r="E172" s="49"/>
      <c r="F172" s="49"/>
    </row>
    <row r="173" spans="1:6" x14ac:dyDescent="0.25">
      <c r="D173" s="48"/>
      <c r="E173" s="48"/>
      <c r="F173" s="48"/>
    </row>
    <row r="175" spans="1:6" x14ac:dyDescent="0.25">
      <c r="A175" s="160" t="s">
        <v>127</v>
      </c>
      <c r="B175" s="160"/>
      <c r="C175" s="160"/>
    </row>
    <row r="176" spans="1:6" ht="16.5" thickBot="1" x14ac:dyDescent="0.3"/>
    <row r="177" spans="1:7" ht="63.75" thickBot="1" x14ac:dyDescent="0.3">
      <c r="A177" s="162" t="s">
        <v>128</v>
      </c>
      <c r="B177" s="163"/>
      <c r="C177" s="70" t="s">
        <v>130</v>
      </c>
      <c r="D177" s="70" t="s">
        <v>131</v>
      </c>
      <c r="E177" s="70" t="s">
        <v>132</v>
      </c>
      <c r="F177" s="70" t="s">
        <v>133</v>
      </c>
      <c r="G177" s="70" t="s">
        <v>134</v>
      </c>
    </row>
    <row r="178" spans="1:7" ht="16.5" thickBot="1" x14ac:dyDescent="0.3">
      <c r="A178" s="68" t="s">
        <v>129</v>
      </c>
      <c r="B178" s="5" t="str">
        <f>C25</f>
        <v>Motorista - CNH "d"</v>
      </c>
      <c r="C178" s="63">
        <f>C172</f>
        <v>6720.59</v>
      </c>
      <c r="D178" s="15">
        <v>1</v>
      </c>
      <c r="E178" s="63">
        <f>D178*C178</f>
        <v>6720.59</v>
      </c>
      <c r="F178" s="15">
        <v>1</v>
      </c>
      <c r="G178" s="63">
        <f>F178*E178</f>
        <v>6720.59</v>
      </c>
    </row>
    <row r="179" spans="1:7" ht="16.5" thickBot="1" x14ac:dyDescent="0.3">
      <c r="A179" s="68"/>
      <c r="B179" s="5"/>
      <c r="C179" s="15"/>
      <c r="D179" s="15"/>
      <c r="E179" s="15"/>
      <c r="F179" s="15"/>
      <c r="G179" s="15"/>
    </row>
    <row r="181" spans="1:7" x14ac:dyDescent="0.25">
      <c r="A181" s="160" t="s">
        <v>135</v>
      </c>
      <c r="B181" s="160"/>
      <c r="C181" s="160"/>
    </row>
    <row r="182" spans="1:7" ht="16.5" thickBot="1" x14ac:dyDescent="0.3"/>
    <row r="183" spans="1:7" ht="16.5" thickBot="1" x14ac:dyDescent="0.3">
      <c r="A183" s="3"/>
      <c r="B183" s="70" t="s">
        <v>136</v>
      </c>
      <c r="C183" s="70" t="s">
        <v>5</v>
      </c>
    </row>
    <row r="184" spans="1:7" ht="16.5" thickBot="1" x14ac:dyDescent="0.3">
      <c r="A184" s="68" t="s">
        <v>6</v>
      </c>
      <c r="B184" s="5" t="s">
        <v>137</v>
      </c>
      <c r="C184" s="63">
        <f>E178</f>
        <v>6720.59</v>
      </c>
    </row>
    <row r="185" spans="1:7" ht="16.5" thickBot="1" x14ac:dyDescent="0.3">
      <c r="A185" s="68" t="s">
        <v>8</v>
      </c>
      <c r="B185" s="5" t="s">
        <v>138</v>
      </c>
      <c r="C185" s="63">
        <f>G178</f>
        <v>6720.59</v>
      </c>
    </row>
    <row r="186" spans="1:7" ht="32.25" thickBot="1" x14ac:dyDescent="0.3">
      <c r="A186" s="68" t="s">
        <v>10</v>
      </c>
      <c r="B186" s="5" t="s">
        <v>139</v>
      </c>
      <c r="C186" s="64">
        <f>C185*12</f>
        <v>80647.08</v>
      </c>
    </row>
    <row r="187" spans="1:7" x14ac:dyDescent="0.25">
      <c r="A187" s="2" t="s">
        <v>140</v>
      </c>
    </row>
  </sheetData>
  <mergeCells count="30">
    <mergeCell ref="A57:D57"/>
    <mergeCell ref="A31:C31"/>
    <mergeCell ref="A41:B41"/>
    <mergeCell ref="A44:C44"/>
    <mergeCell ref="A46:C46"/>
    <mergeCell ref="A52:B52"/>
    <mergeCell ref="A128:B128"/>
    <mergeCell ref="A68:B68"/>
    <mergeCell ref="A73:C73"/>
    <mergeCell ref="A83:B83"/>
    <mergeCell ref="A88:C88"/>
    <mergeCell ref="A94:B94"/>
    <mergeCell ref="A97:C97"/>
    <mergeCell ref="A106:B106"/>
    <mergeCell ref="A109:C109"/>
    <mergeCell ref="A112:C112"/>
    <mergeCell ref="A121:B121"/>
    <mergeCell ref="A124:C124"/>
    <mergeCell ref="A181:C181"/>
    <mergeCell ref="A131:C131"/>
    <mergeCell ref="A136:B136"/>
    <mergeCell ref="A139:C139"/>
    <mergeCell ref="A146:B146"/>
    <mergeCell ref="A149:C149"/>
    <mergeCell ref="A158:B158"/>
    <mergeCell ref="A162:C162"/>
    <mergeCell ref="A170:B170"/>
    <mergeCell ref="A172:B172"/>
    <mergeCell ref="A175:C175"/>
    <mergeCell ref="A177:B177"/>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87"/>
  <sheetViews>
    <sheetView topLeftCell="A165" workbookViewId="0">
      <selection activeCell="A98" sqref="A98"/>
    </sheetView>
  </sheetViews>
  <sheetFormatPr defaultRowHeight="15.75" x14ac:dyDescent="0.25"/>
  <cols>
    <col min="1" max="1" width="14.42578125" style="2" customWidth="1"/>
    <col min="2" max="2" width="72.140625" style="2" customWidth="1"/>
    <col min="3" max="3" width="28.140625" style="2" customWidth="1"/>
    <col min="4" max="4" width="14.28515625" style="2" customWidth="1"/>
    <col min="5" max="5" width="43.7109375" style="2" customWidth="1"/>
    <col min="6" max="6" width="36.28515625" style="2" customWidth="1"/>
    <col min="7" max="7" width="15.140625" style="2" customWidth="1"/>
    <col min="8" max="16384" width="9.140625" style="2"/>
  </cols>
  <sheetData>
    <row r="1" spans="1:4" ht="23.25" x14ac:dyDescent="0.35">
      <c r="A1" s="1" t="s">
        <v>0</v>
      </c>
      <c r="B1" s="1"/>
      <c r="C1" s="1"/>
      <c r="D1" s="1"/>
    </row>
    <row r="2" spans="1:4" ht="23.25" x14ac:dyDescent="0.35">
      <c r="A2" s="1" t="s">
        <v>167</v>
      </c>
      <c r="B2" s="1"/>
      <c r="C2" s="1"/>
      <c r="D2" s="1"/>
    </row>
    <row r="3" spans="1:4" ht="23.25" x14ac:dyDescent="0.35">
      <c r="A3" s="57" t="s">
        <v>144</v>
      </c>
      <c r="B3" s="56"/>
      <c r="C3" s="56"/>
      <c r="D3" s="56"/>
    </row>
    <row r="4" spans="1:4" x14ac:dyDescent="0.25">
      <c r="A4" s="18" t="s">
        <v>2</v>
      </c>
      <c r="B4" s="18"/>
      <c r="C4" s="22" t="s">
        <v>141</v>
      </c>
      <c r="D4" s="16"/>
    </row>
    <row r="5" spans="1:4" x14ac:dyDescent="0.25">
      <c r="A5" s="19" t="s">
        <v>87</v>
      </c>
      <c r="B5" s="20"/>
      <c r="C5" s="23" t="s">
        <v>161</v>
      </c>
      <c r="D5" s="17"/>
    </row>
    <row r="6" spans="1:4" x14ac:dyDescent="0.25">
      <c r="A6" s="19" t="s">
        <v>88</v>
      </c>
      <c r="B6" s="20"/>
      <c r="C6" s="23" t="s">
        <v>162</v>
      </c>
      <c r="D6" s="17"/>
    </row>
    <row r="7" spans="1:4" x14ac:dyDescent="0.25">
      <c r="A7" s="19"/>
      <c r="B7" s="20"/>
      <c r="C7" s="26"/>
      <c r="D7" s="17"/>
    </row>
    <row r="8" spans="1:4" x14ac:dyDescent="0.25">
      <c r="A8" s="20"/>
      <c r="B8" s="21" t="s">
        <v>80</v>
      </c>
      <c r="C8" s="28"/>
      <c r="D8" s="17"/>
    </row>
    <row r="9" spans="1:4" x14ac:dyDescent="0.25">
      <c r="A9" s="20" t="s">
        <v>6</v>
      </c>
      <c r="B9" s="19" t="s">
        <v>81</v>
      </c>
      <c r="C9" s="25"/>
      <c r="D9" s="17"/>
    </row>
    <row r="10" spans="1:4" x14ac:dyDescent="0.25">
      <c r="A10" s="20" t="s">
        <v>8</v>
      </c>
      <c r="B10" s="19" t="s">
        <v>82</v>
      </c>
      <c r="C10" s="25"/>
      <c r="D10" s="17"/>
    </row>
    <row r="11" spans="1:4" x14ac:dyDescent="0.25">
      <c r="A11" s="20" t="s">
        <v>10</v>
      </c>
      <c r="B11" s="19" t="s">
        <v>83</v>
      </c>
      <c r="C11" s="25">
        <v>2021</v>
      </c>
      <c r="D11" s="17"/>
    </row>
    <row r="12" spans="1:4" x14ac:dyDescent="0.25">
      <c r="A12" s="20" t="s">
        <v>12</v>
      </c>
      <c r="B12" s="19" t="s">
        <v>142</v>
      </c>
      <c r="C12" s="50" t="s">
        <v>155</v>
      </c>
      <c r="D12" s="17"/>
    </row>
    <row r="13" spans="1:4" x14ac:dyDescent="0.25">
      <c r="A13" s="20" t="s">
        <v>14</v>
      </c>
      <c r="B13" s="19" t="s">
        <v>89</v>
      </c>
      <c r="C13" s="29" t="s">
        <v>90</v>
      </c>
      <c r="D13" s="17"/>
    </row>
    <row r="14" spans="1:4" x14ac:dyDescent="0.25">
      <c r="A14" s="20"/>
      <c r="B14" s="19"/>
      <c r="C14" s="30"/>
      <c r="D14" s="17"/>
    </row>
    <row r="15" spans="1:4" x14ac:dyDescent="0.25">
      <c r="A15" s="20"/>
      <c r="B15" s="21" t="s">
        <v>91</v>
      </c>
      <c r="C15" s="20"/>
      <c r="D15" s="17"/>
    </row>
    <row r="16" spans="1:4" x14ac:dyDescent="0.25">
      <c r="A16" s="20" t="s">
        <v>6</v>
      </c>
      <c r="B16" s="19" t="s">
        <v>84</v>
      </c>
      <c r="C16" s="27" t="s">
        <v>159</v>
      </c>
      <c r="D16" s="17"/>
    </row>
    <row r="17" spans="1:4" x14ac:dyDescent="0.25">
      <c r="A17" s="20" t="s">
        <v>8</v>
      </c>
      <c r="B17" s="19" t="s">
        <v>85</v>
      </c>
      <c r="C17" s="24" t="s">
        <v>86</v>
      </c>
      <c r="D17" s="17"/>
    </row>
    <row r="18" spans="1:4" x14ac:dyDescent="0.25">
      <c r="A18" s="20" t="s">
        <v>10</v>
      </c>
      <c r="B18" s="19" t="s">
        <v>92</v>
      </c>
      <c r="C18" s="29">
        <v>1</v>
      </c>
      <c r="D18" s="17"/>
    </row>
    <row r="19" spans="1:4" x14ac:dyDescent="0.25">
      <c r="A19" s="31" t="s">
        <v>94</v>
      </c>
      <c r="B19" s="31"/>
      <c r="C19" s="17"/>
      <c r="D19" s="17"/>
    </row>
    <row r="20" spans="1:4" x14ac:dyDescent="0.25">
      <c r="A20" s="31"/>
      <c r="B20" s="31"/>
      <c r="C20" s="17"/>
      <c r="D20" s="17"/>
    </row>
    <row r="21" spans="1:4" x14ac:dyDescent="0.25">
      <c r="A21" s="39" t="s">
        <v>95</v>
      </c>
      <c r="B21" s="32"/>
      <c r="C21" s="33"/>
      <c r="D21" s="17"/>
    </row>
    <row r="22" spans="1:4" x14ac:dyDescent="0.25">
      <c r="A22" s="34" t="s">
        <v>97</v>
      </c>
      <c r="B22" s="31"/>
      <c r="C22" s="35"/>
      <c r="D22" s="17"/>
    </row>
    <row r="23" spans="1:4" x14ac:dyDescent="0.25">
      <c r="A23" s="36" t="s">
        <v>98</v>
      </c>
      <c r="B23" s="37"/>
      <c r="C23" s="38"/>
      <c r="D23" s="17"/>
    </row>
    <row r="24" spans="1:4" x14ac:dyDescent="0.25">
      <c r="A24" s="19"/>
      <c r="B24" s="21" t="s">
        <v>99</v>
      </c>
      <c r="C24" s="20"/>
      <c r="D24" s="17"/>
    </row>
    <row r="25" spans="1:4" x14ac:dyDescent="0.25">
      <c r="A25" s="19">
        <v>1</v>
      </c>
      <c r="B25" s="19" t="s">
        <v>100</v>
      </c>
      <c r="C25" s="27" t="s">
        <v>157</v>
      </c>
      <c r="D25" s="17"/>
    </row>
    <row r="26" spans="1:4" x14ac:dyDescent="0.25">
      <c r="A26" s="19">
        <v>2</v>
      </c>
      <c r="B26" s="19" t="s">
        <v>101</v>
      </c>
      <c r="C26" s="24" t="s">
        <v>158</v>
      </c>
      <c r="D26" s="17"/>
    </row>
    <row r="27" spans="1:4" x14ac:dyDescent="0.25">
      <c r="A27" s="19">
        <v>3</v>
      </c>
      <c r="B27" s="19" t="s">
        <v>96</v>
      </c>
      <c r="C27" s="51">
        <v>1666.65</v>
      </c>
      <c r="D27" s="17"/>
    </row>
    <row r="28" spans="1:4" x14ac:dyDescent="0.25">
      <c r="A28" s="19">
        <v>4</v>
      </c>
      <c r="B28" s="19" t="s">
        <v>102</v>
      </c>
      <c r="C28" s="24" t="s">
        <v>159</v>
      </c>
      <c r="D28" s="17"/>
    </row>
    <row r="29" spans="1:4" x14ac:dyDescent="0.25">
      <c r="A29" s="19">
        <v>5</v>
      </c>
      <c r="B29" s="19" t="s">
        <v>103</v>
      </c>
      <c r="C29" s="29" t="s">
        <v>160</v>
      </c>
      <c r="D29" s="17"/>
    </row>
    <row r="30" spans="1:4" x14ac:dyDescent="0.25">
      <c r="A30" s="31"/>
      <c r="B30" s="31"/>
      <c r="C30" s="17"/>
      <c r="D30" s="17"/>
    </row>
    <row r="31" spans="1:4" x14ac:dyDescent="0.25">
      <c r="A31" s="160" t="s">
        <v>3</v>
      </c>
      <c r="B31" s="160"/>
      <c r="C31" s="160"/>
    </row>
    <row r="32" spans="1:4" ht="16.5" thickBot="1" x14ac:dyDescent="0.3"/>
    <row r="33" spans="1:6" ht="16.5" thickBot="1" x14ac:dyDescent="0.3">
      <c r="A33" s="3">
        <v>1</v>
      </c>
      <c r="B33" s="70" t="s">
        <v>4</v>
      </c>
      <c r="C33" s="70" t="s">
        <v>5</v>
      </c>
      <c r="D33" s="70" t="s">
        <v>164</v>
      </c>
      <c r="E33" s="70" t="s">
        <v>165</v>
      </c>
      <c r="F33" s="70" t="s">
        <v>166</v>
      </c>
    </row>
    <row r="34" spans="1:6" ht="16.5" thickBot="1" x14ac:dyDescent="0.3">
      <c r="A34" s="4" t="s">
        <v>6</v>
      </c>
      <c r="B34" s="5" t="s">
        <v>7</v>
      </c>
      <c r="C34" s="52">
        <f>C27</f>
        <v>1666.65</v>
      </c>
      <c r="D34" s="71"/>
      <c r="E34" s="71"/>
      <c r="F34" s="71"/>
    </row>
    <row r="35" spans="1:6" ht="16.5" thickBot="1" x14ac:dyDescent="0.3">
      <c r="A35" s="4" t="s">
        <v>8</v>
      </c>
      <c r="B35" s="5" t="s">
        <v>9</v>
      </c>
      <c r="C35" s="7"/>
      <c r="D35" s="71"/>
      <c r="E35" s="71"/>
      <c r="F35" s="71"/>
    </row>
    <row r="36" spans="1:6" ht="16.5" thickBot="1" x14ac:dyDescent="0.3">
      <c r="A36" s="4" t="s">
        <v>10</v>
      </c>
      <c r="B36" s="5" t="s">
        <v>11</v>
      </c>
      <c r="C36" s="6"/>
      <c r="D36" s="71"/>
      <c r="E36" s="71"/>
      <c r="F36" s="71"/>
    </row>
    <row r="37" spans="1:6" ht="16.5" thickBot="1" x14ac:dyDescent="0.3">
      <c r="A37" s="4" t="s">
        <v>12</v>
      </c>
      <c r="B37" s="5" t="s">
        <v>13</v>
      </c>
      <c r="C37" s="6"/>
      <c r="D37" s="71"/>
      <c r="E37" s="71"/>
      <c r="F37" s="71"/>
    </row>
    <row r="38" spans="1:6" ht="16.5" thickBot="1" x14ac:dyDescent="0.3">
      <c r="A38" s="4" t="s">
        <v>14</v>
      </c>
      <c r="B38" s="5" t="s">
        <v>15</v>
      </c>
      <c r="C38" s="6"/>
      <c r="D38" s="71"/>
      <c r="E38" s="71"/>
      <c r="F38" s="71"/>
    </row>
    <row r="39" spans="1:6" ht="16.5" thickBot="1" x14ac:dyDescent="0.3">
      <c r="A39" s="4"/>
      <c r="B39" s="5"/>
      <c r="C39" s="53"/>
      <c r="D39" s="72"/>
      <c r="E39" s="72"/>
      <c r="F39" s="72"/>
    </row>
    <row r="40" spans="1:6" ht="16.5" thickBot="1" x14ac:dyDescent="0.3">
      <c r="A40" s="4" t="s">
        <v>16</v>
      </c>
      <c r="B40" s="5" t="s">
        <v>17</v>
      </c>
      <c r="C40" s="6"/>
      <c r="D40" s="71"/>
      <c r="E40" s="71"/>
      <c r="F40" s="71"/>
    </row>
    <row r="41" spans="1:6" ht="16.5" thickBot="1" x14ac:dyDescent="0.3">
      <c r="A41" s="162" t="s">
        <v>18</v>
      </c>
      <c r="B41" s="163"/>
      <c r="C41" s="53">
        <f>SUM(C34:C40)</f>
        <v>1666.65</v>
      </c>
      <c r="D41" s="72"/>
      <c r="E41" s="72"/>
      <c r="F41" s="72"/>
    </row>
    <row r="42" spans="1:6" x14ac:dyDescent="0.25">
      <c r="A42" s="2" t="s">
        <v>104</v>
      </c>
    </row>
    <row r="44" spans="1:6" x14ac:dyDescent="0.25">
      <c r="A44" s="160" t="s">
        <v>19</v>
      </c>
      <c r="B44" s="160"/>
      <c r="C44" s="160"/>
    </row>
    <row r="45" spans="1:6" x14ac:dyDescent="0.25">
      <c r="A45" s="8"/>
    </row>
    <row r="46" spans="1:6" x14ac:dyDescent="0.25">
      <c r="A46" s="161" t="s">
        <v>20</v>
      </c>
      <c r="B46" s="161"/>
      <c r="C46" s="161"/>
    </row>
    <row r="47" spans="1:6" ht="16.5" thickBot="1" x14ac:dyDescent="0.3"/>
    <row r="48" spans="1:6" ht="16.5" thickBot="1" x14ac:dyDescent="0.3">
      <c r="A48" s="3" t="s">
        <v>21</v>
      </c>
      <c r="B48" s="70" t="s">
        <v>22</v>
      </c>
      <c r="C48" s="70" t="s">
        <v>5</v>
      </c>
      <c r="D48" s="70" t="s">
        <v>164</v>
      </c>
      <c r="E48" s="70" t="s">
        <v>165</v>
      </c>
      <c r="F48" s="70" t="s">
        <v>166</v>
      </c>
    </row>
    <row r="49" spans="1:6" ht="16.5" thickBot="1" x14ac:dyDescent="0.3">
      <c r="A49" s="4" t="s">
        <v>6</v>
      </c>
      <c r="B49" s="5" t="s">
        <v>23</v>
      </c>
      <c r="C49" s="7">
        <f>C34*1/12</f>
        <v>138.88999999999999</v>
      </c>
      <c r="D49" s="71"/>
      <c r="E49" s="71"/>
      <c r="F49" s="71"/>
    </row>
    <row r="50" spans="1:6" ht="16.5" thickBot="1" x14ac:dyDescent="0.3">
      <c r="A50" s="4" t="s">
        <v>8</v>
      </c>
      <c r="B50" s="5" t="s">
        <v>24</v>
      </c>
      <c r="C50" s="7">
        <f>C34*1/12</f>
        <v>138.88999999999999</v>
      </c>
      <c r="D50" s="71"/>
      <c r="E50" s="71"/>
      <c r="F50" s="71"/>
    </row>
    <row r="51" spans="1:6" ht="16.5" thickBot="1" x14ac:dyDescent="0.3">
      <c r="A51" s="4" t="s">
        <v>10</v>
      </c>
      <c r="B51" s="5" t="s">
        <v>25</v>
      </c>
      <c r="C51" s="7">
        <f>C34*1/3*1/12</f>
        <v>46.3</v>
      </c>
      <c r="D51" s="71"/>
      <c r="E51" s="71"/>
      <c r="F51" s="71"/>
    </row>
    <row r="52" spans="1:6" ht="16.5" thickBot="1" x14ac:dyDescent="0.3">
      <c r="A52" s="162" t="s">
        <v>18</v>
      </c>
      <c r="B52" s="163"/>
      <c r="C52" s="7">
        <f>SUM(C49:C51)</f>
        <v>324.08</v>
      </c>
      <c r="D52" s="71"/>
      <c r="E52" s="71"/>
      <c r="F52" s="71"/>
    </row>
    <row r="53" spans="1:6" x14ac:dyDescent="0.25">
      <c r="A53" s="2" t="s">
        <v>105</v>
      </c>
      <c r="B53" s="45"/>
      <c r="C53" s="45"/>
    </row>
    <row r="54" spans="1:6" x14ac:dyDescent="0.25">
      <c r="A54" s="2" t="s">
        <v>106</v>
      </c>
      <c r="B54" s="46"/>
      <c r="C54" s="46"/>
    </row>
    <row r="55" spans="1:6" x14ac:dyDescent="0.25">
      <c r="A55" s="2" t="s">
        <v>107</v>
      </c>
      <c r="B55" s="42"/>
      <c r="C55" s="42"/>
    </row>
    <row r="57" spans="1:6" x14ac:dyDescent="0.25">
      <c r="A57" s="165" t="s">
        <v>26</v>
      </c>
      <c r="B57" s="165"/>
      <c r="C57" s="165"/>
      <c r="D57" s="165"/>
    </row>
    <row r="58" spans="1:6" ht="16.5" thickBot="1" x14ac:dyDescent="0.3"/>
    <row r="59" spans="1:6" ht="16.5" thickBot="1" x14ac:dyDescent="0.3">
      <c r="A59" s="3" t="s">
        <v>27</v>
      </c>
      <c r="B59" s="70" t="s">
        <v>28</v>
      </c>
      <c r="C59" s="70" t="s">
        <v>29</v>
      </c>
      <c r="D59" s="70" t="s">
        <v>5</v>
      </c>
      <c r="E59" s="70" t="s">
        <v>165</v>
      </c>
      <c r="F59" s="70" t="s">
        <v>166</v>
      </c>
    </row>
    <row r="60" spans="1:6" ht="16.5" thickBot="1" x14ac:dyDescent="0.3">
      <c r="A60" s="4" t="s">
        <v>6</v>
      </c>
      <c r="B60" s="5" t="s">
        <v>30</v>
      </c>
      <c r="C60" s="9">
        <v>0.2</v>
      </c>
      <c r="D60" s="53">
        <f>($C$41+$C$52)*C60</f>
        <v>398.15</v>
      </c>
      <c r="E60" s="71"/>
      <c r="F60" s="71"/>
    </row>
    <row r="61" spans="1:6" ht="16.5" thickBot="1" x14ac:dyDescent="0.3">
      <c r="A61" s="4" t="s">
        <v>8</v>
      </c>
      <c r="B61" s="5" t="s">
        <v>31</v>
      </c>
      <c r="C61" s="9">
        <v>2.5000000000000001E-2</v>
      </c>
      <c r="D61" s="53">
        <f t="shared" ref="D61:D67" si="0">($C$41+$C$52)*C61</f>
        <v>49.77</v>
      </c>
      <c r="E61" s="71"/>
      <c r="F61" s="71"/>
    </row>
    <row r="62" spans="1:6" ht="16.5" thickBot="1" x14ac:dyDescent="0.3">
      <c r="A62" s="4" t="s">
        <v>10</v>
      </c>
      <c r="B62" s="5" t="s">
        <v>32</v>
      </c>
      <c r="C62" s="9">
        <v>0.03</v>
      </c>
      <c r="D62" s="53">
        <f t="shared" si="0"/>
        <v>59.72</v>
      </c>
      <c r="E62" s="71"/>
      <c r="F62" s="71"/>
    </row>
    <row r="63" spans="1:6" ht="16.5" thickBot="1" x14ac:dyDescent="0.3">
      <c r="A63" s="4" t="s">
        <v>12</v>
      </c>
      <c r="B63" s="5" t="s">
        <v>33</v>
      </c>
      <c r="C63" s="9">
        <v>1.4999999999999999E-2</v>
      </c>
      <c r="D63" s="53">
        <f t="shared" si="0"/>
        <v>29.86</v>
      </c>
      <c r="E63" s="71"/>
      <c r="F63" s="71"/>
    </row>
    <row r="64" spans="1:6" ht="16.5" thickBot="1" x14ac:dyDescent="0.3">
      <c r="A64" s="4" t="s">
        <v>14</v>
      </c>
      <c r="B64" s="5" t="s">
        <v>34</v>
      </c>
      <c r="C64" s="9">
        <v>0.01</v>
      </c>
      <c r="D64" s="53">
        <f t="shared" si="0"/>
        <v>19.91</v>
      </c>
      <c r="E64" s="71"/>
      <c r="F64" s="71"/>
    </row>
    <row r="65" spans="1:6" ht="16.5" thickBot="1" x14ac:dyDescent="0.3">
      <c r="A65" s="4" t="s">
        <v>35</v>
      </c>
      <c r="B65" s="5" t="s">
        <v>36</v>
      </c>
      <c r="C65" s="9">
        <v>6.0000000000000001E-3</v>
      </c>
      <c r="D65" s="53">
        <f t="shared" si="0"/>
        <v>11.94</v>
      </c>
      <c r="E65" s="71"/>
      <c r="F65" s="71"/>
    </row>
    <row r="66" spans="1:6" ht="16.5" thickBot="1" x14ac:dyDescent="0.3">
      <c r="A66" s="4" t="s">
        <v>16</v>
      </c>
      <c r="B66" s="5" t="s">
        <v>37</v>
      </c>
      <c r="C66" s="9">
        <v>2E-3</v>
      </c>
      <c r="D66" s="53">
        <f t="shared" si="0"/>
        <v>3.98</v>
      </c>
      <c r="E66" s="71"/>
      <c r="F66" s="71"/>
    </row>
    <row r="67" spans="1:6" ht="16.5" thickBot="1" x14ac:dyDescent="0.3">
      <c r="A67" s="4" t="s">
        <v>38</v>
      </c>
      <c r="B67" s="5" t="s">
        <v>39</v>
      </c>
      <c r="C67" s="9">
        <v>0.08</v>
      </c>
      <c r="D67" s="53">
        <f t="shared" si="0"/>
        <v>159.26</v>
      </c>
      <c r="E67" s="71"/>
      <c r="F67" s="71"/>
    </row>
    <row r="68" spans="1:6" ht="16.5" thickBot="1" x14ac:dyDescent="0.3">
      <c r="A68" s="162" t="s">
        <v>40</v>
      </c>
      <c r="B68" s="163"/>
      <c r="C68" s="9">
        <f>SUM(C60:C67)</f>
        <v>0.36799999999999999</v>
      </c>
      <c r="D68" s="53">
        <f>SUM(D60:D67)</f>
        <v>732.59</v>
      </c>
      <c r="E68" s="71"/>
      <c r="F68" s="71"/>
    </row>
    <row r="69" spans="1:6" x14ac:dyDescent="0.25">
      <c r="A69" s="2" t="s">
        <v>108</v>
      </c>
      <c r="B69" s="40"/>
      <c r="C69" s="44"/>
      <c r="D69" s="41"/>
    </row>
    <row r="70" spans="1:6" x14ac:dyDescent="0.25">
      <c r="A70" s="2" t="s">
        <v>109</v>
      </c>
      <c r="B70" s="40"/>
      <c r="C70" s="44"/>
      <c r="D70" s="41"/>
    </row>
    <row r="71" spans="1:6" x14ac:dyDescent="0.25">
      <c r="A71" s="2" t="s">
        <v>110</v>
      </c>
    </row>
    <row r="73" spans="1:6" x14ac:dyDescent="0.25">
      <c r="A73" s="161" t="s">
        <v>41</v>
      </c>
      <c r="B73" s="161"/>
      <c r="C73" s="161"/>
    </row>
    <row r="74" spans="1:6" ht="16.5" thickBot="1" x14ac:dyDescent="0.3"/>
    <row r="75" spans="1:6" ht="16.5" thickBot="1" x14ac:dyDescent="0.3">
      <c r="A75" s="3" t="s">
        <v>42</v>
      </c>
      <c r="B75" s="70" t="s">
        <v>43</v>
      </c>
      <c r="C75" s="70" t="s">
        <v>5</v>
      </c>
      <c r="E75" s="3" t="s">
        <v>165</v>
      </c>
      <c r="F75" s="70" t="s">
        <v>166</v>
      </c>
    </row>
    <row r="76" spans="1:6" ht="16.5" thickBot="1" x14ac:dyDescent="0.3">
      <c r="A76" s="4" t="s">
        <v>6</v>
      </c>
      <c r="B76" s="5" t="s">
        <v>44</v>
      </c>
      <c r="C76" s="53">
        <f>(4.5*2*22)-C41*6/100</f>
        <v>98</v>
      </c>
      <c r="D76" s="54"/>
      <c r="E76" s="73"/>
      <c r="F76" s="71"/>
    </row>
    <row r="77" spans="1:6" ht="16.5" thickBot="1" x14ac:dyDescent="0.3">
      <c r="A77" s="4" t="s">
        <v>8</v>
      </c>
      <c r="B77" s="5" t="s">
        <v>45</v>
      </c>
      <c r="C77" s="53">
        <f>(22*18.23)-(22*18.23*1/100)</f>
        <v>397.05</v>
      </c>
      <c r="E77" s="73"/>
      <c r="F77" s="71"/>
    </row>
    <row r="78" spans="1:6" ht="16.5" thickBot="1" x14ac:dyDescent="0.3">
      <c r="A78" s="4" t="s">
        <v>10</v>
      </c>
      <c r="B78" s="10" t="s">
        <v>46</v>
      </c>
      <c r="C78" s="53">
        <v>8.9</v>
      </c>
      <c r="E78" s="73"/>
      <c r="F78" s="71"/>
    </row>
    <row r="79" spans="1:6" ht="16.5" thickBot="1" x14ac:dyDescent="0.3">
      <c r="A79" s="4" t="s">
        <v>12</v>
      </c>
      <c r="B79" s="11" t="s">
        <v>47</v>
      </c>
      <c r="C79" s="53">
        <v>11</v>
      </c>
      <c r="E79" s="73"/>
      <c r="F79" s="71"/>
    </row>
    <row r="80" spans="1:6" ht="16.5" thickBot="1" x14ac:dyDescent="0.3">
      <c r="A80" s="4" t="s">
        <v>14</v>
      </c>
      <c r="B80" s="11" t="s">
        <v>48</v>
      </c>
      <c r="C80" s="53">
        <f>C41*5/100</f>
        <v>83.33</v>
      </c>
      <c r="E80" s="73"/>
      <c r="F80" s="71"/>
    </row>
    <row r="81" spans="1:6" ht="32.25" thickBot="1" x14ac:dyDescent="0.3">
      <c r="A81" s="4" t="s">
        <v>35</v>
      </c>
      <c r="B81" s="5" t="s">
        <v>143</v>
      </c>
      <c r="C81" s="53">
        <f>140*7</f>
        <v>980</v>
      </c>
      <c r="E81" s="73"/>
      <c r="F81" s="71"/>
    </row>
    <row r="82" spans="1:6" ht="16.5" thickBot="1" x14ac:dyDescent="0.3">
      <c r="A82" s="67" t="s">
        <v>16</v>
      </c>
      <c r="B82" s="5" t="s">
        <v>147</v>
      </c>
      <c r="C82" s="53">
        <f>165*2/12</f>
        <v>27.5</v>
      </c>
      <c r="E82" s="73"/>
      <c r="F82" s="71"/>
    </row>
    <row r="83" spans="1:6" ht="16.5" thickBot="1" x14ac:dyDescent="0.3">
      <c r="A83" s="162" t="s">
        <v>18</v>
      </c>
      <c r="B83" s="163"/>
      <c r="C83" s="53">
        <f>SUM(C76:C82)</f>
        <v>1605.78</v>
      </c>
      <c r="D83" s="60"/>
      <c r="E83" s="73"/>
      <c r="F83" s="71"/>
    </row>
    <row r="84" spans="1:6" x14ac:dyDescent="0.25">
      <c r="A84" s="2" t="s">
        <v>111</v>
      </c>
      <c r="B84" s="40"/>
      <c r="C84" s="41"/>
    </row>
    <row r="85" spans="1:6" x14ac:dyDescent="0.25">
      <c r="A85" s="2" t="s">
        <v>112</v>
      </c>
    </row>
    <row r="86" spans="1:6" x14ac:dyDescent="0.25">
      <c r="A86" s="2" t="s">
        <v>163</v>
      </c>
    </row>
    <row r="88" spans="1:6" x14ac:dyDescent="0.25">
      <c r="A88" s="161" t="s">
        <v>49</v>
      </c>
      <c r="B88" s="161"/>
      <c r="C88" s="161"/>
    </row>
    <row r="89" spans="1:6" ht="16.5" thickBot="1" x14ac:dyDescent="0.3"/>
    <row r="90" spans="1:6" ht="16.5" thickBot="1" x14ac:dyDescent="0.3">
      <c r="A90" s="3">
        <v>2</v>
      </c>
      <c r="B90" s="70" t="s">
        <v>50</v>
      </c>
      <c r="C90" s="70" t="s">
        <v>5</v>
      </c>
      <c r="E90" s="3" t="s">
        <v>165</v>
      </c>
      <c r="F90" s="70" t="s">
        <v>166</v>
      </c>
    </row>
    <row r="91" spans="1:6" ht="16.5" thickBot="1" x14ac:dyDescent="0.3">
      <c r="A91" s="4" t="s">
        <v>21</v>
      </c>
      <c r="B91" s="5" t="s">
        <v>22</v>
      </c>
      <c r="C91" s="53">
        <f>C52</f>
        <v>324.08</v>
      </c>
      <c r="E91" s="73"/>
      <c r="F91" s="71"/>
    </row>
    <row r="92" spans="1:6" ht="16.5" thickBot="1" x14ac:dyDescent="0.3">
      <c r="A92" s="4" t="s">
        <v>27</v>
      </c>
      <c r="B92" s="5" t="s">
        <v>28</v>
      </c>
      <c r="C92" s="53">
        <f>D68</f>
        <v>732.59</v>
      </c>
      <c r="E92" s="73"/>
      <c r="F92" s="71"/>
    </row>
    <row r="93" spans="1:6" ht="16.5" thickBot="1" x14ac:dyDescent="0.3">
      <c r="A93" s="4" t="s">
        <v>42</v>
      </c>
      <c r="B93" s="5" t="s">
        <v>43</v>
      </c>
      <c r="C93" s="53">
        <f>C83</f>
        <v>1605.78</v>
      </c>
      <c r="E93" s="73"/>
      <c r="F93" s="71"/>
    </row>
    <row r="94" spans="1:6" ht="16.5" thickBot="1" x14ac:dyDescent="0.3">
      <c r="A94" s="162" t="s">
        <v>18</v>
      </c>
      <c r="B94" s="163"/>
      <c r="C94" s="53">
        <f>SUM(C91:C93)</f>
        <v>2662.45</v>
      </c>
      <c r="E94" s="73"/>
      <c r="F94" s="71"/>
    </row>
    <row r="95" spans="1:6" x14ac:dyDescent="0.25">
      <c r="A95" s="12"/>
      <c r="E95" s="54"/>
    </row>
    <row r="96" spans="1:6" x14ac:dyDescent="0.25">
      <c r="E96" s="54"/>
    </row>
    <row r="97" spans="1:7" x14ac:dyDescent="0.25">
      <c r="A97" s="160" t="s">
        <v>51</v>
      </c>
      <c r="B97" s="160"/>
      <c r="C97" s="160"/>
      <c r="D97" s="59"/>
    </row>
    <row r="98" spans="1:7" ht="16.5" thickBot="1" x14ac:dyDescent="0.3">
      <c r="D98" s="60"/>
    </row>
    <row r="99" spans="1:7" ht="16.5" thickBot="1" x14ac:dyDescent="0.3">
      <c r="A99" s="3">
        <v>3</v>
      </c>
      <c r="B99" s="70" t="s">
        <v>52</v>
      </c>
      <c r="C99" s="70" t="s">
        <v>5</v>
      </c>
      <c r="E99" s="3" t="s">
        <v>165</v>
      </c>
      <c r="F99" s="70" t="s">
        <v>166</v>
      </c>
    </row>
    <row r="100" spans="1:7" ht="16.5" thickBot="1" x14ac:dyDescent="0.3">
      <c r="A100" s="4" t="s">
        <v>6</v>
      </c>
      <c r="B100" s="13" t="s">
        <v>53</v>
      </c>
      <c r="C100" s="55">
        <f>((((C41+C41/12+C41/12+1/3*C41/12))+C93-C81)/12)*50/100</f>
        <v>109.02</v>
      </c>
      <c r="D100" s="60"/>
      <c r="E100" s="73"/>
      <c r="F100" s="71"/>
    </row>
    <row r="101" spans="1:7" ht="16.5" thickBot="1" x14ac:dyDescent="0.3">
      <c r="A101" s="4" t="s">
        <v>8</v>
      </c>
      <c r="B101" s="13" t="s">
        <v>54</v>
      </c>
      <c r="C101" s="55">
        <f>((C41+C41/12+C41/12+1/3*C41/12)*0.08/12)*50/100</f>
        <v>6.64</v>
      </c>
      <c r="D101" s="54"/>
      <c r="E101" s="73"/>
      <c r="F101" s="71"/>
    </row>
    <row r="102" spans="1:7" ht="16.5" thickBot="1" x14ac:dyDescent="0.3">
      <c r="A102" s="4" t="s">
        <v>10</v>
      </c>
      <c r="B102" s="13" t="s">
        <v>148</v>
      </c>
      <c r="C102" s="62">
        <f>D67*40/100*50/100</f>
        <v>31.85</v>
      </c>
      <c r="D102" s="54"/>
      <c r="E102" s="73"/>
      <c r="F102" s="71"/>
    </row>
    <row r="103" spans="1:7" ht="16.5" thickBot="1" x14ac:dyDescent="0.3">
      <c r="A103" s="4" t="s">
        <v>12</v>
      </c>
      <c r="B103" s="13" t="s">
        <v>55</v>
      </c>
      <c r="C103" s="55">
        <f>7/30/12*(C41+C94-C81)*50/100</f>
        <v>32.56</v>
      </c>
      <c r="D103" s="61"/>
      <c r="E103" s="73"/>
      <c r="F103" s="71"/>
    </row>
    <row r="104" spans="1:7" ht="16.5" thickBot="1" x14ac:dyDescent="0.3">
      <c r="A104" s="4" t="s">
        <v>14</v>
      </c>
      <c r="B104" s="13" t="s">
        <v>56</v>
      </c>
      <c r="C104" s="55">
        <f>C103*C68*50/100</f>
        <v>5.99</v>
      </c>
      <c r="E104" s="73"/>
      <c r="F104" s="71"/>
    </row>
    <row r="105" spans="1:7" ht="16.5" thickBot="1" x14ac:dyDescent="0.3">
      <c r="A105" s="4" t="s">
        <v>35</v>
      </c>
      <c r="B105" s="13" t="s">
        <v>149</v>
      </c>
      <c r="C105" s="62">
        <f>D67*40/100*50/100</f>
        <v>31.85</v>
      </c>
      <c r="E105" s="73"/>
      <c r="F105" s="71"/>
    </row>
    <row r="106" spans="1:7" ht="16.5" thickBot="1" x14ac:dyDescent="0.3">
      <c r="A106" s="162" t="s">
        <v>18</v>
      </c>
      <c r="B106" s="163"/>
      <c r="C106" s="55">
        <f>SUM(C100:C105)</f>
        <v>217.91</v>
      </c>
      <c r="E106" s="73"/>
      <c r="F106" s="71"/>
      <c r="G106" s="49"/>
    </row>
    <row r="109" spans="1:7" x14ac:dyDescent="0.25">
      <c r="A109" s="160" t="s">
        <v>57</v>
      </c>
      <c r="B109" s="160"/>
      <c r="C109" s="160"/>
    </row>
    <row r="110" spans="1:7" x14ac:dyDescent="0.25">
      <c r="A110" s="2" t="s">
        <v>113</v>
      </c>
    </row>
    <row r="112" spans="1:7" x14ac:dyDescent="0.25">
      <c r="A112" s="161" t="s">
        <v>114</v>
      </c>
      <c r="B112" s="161"/>
      <c r="C112" s="161"/>
    </row>
    <row r="113" spans="1:7" ht="16.5" thickBot="1" x14ac:dyDescent="0.3">
      <c r="A113" s="8"/>
    </row>
    <row r="114" spans="1:7" ht="16.5" thickBot="1" x14ac:dyDescent="0.3">
      <c r="A114" s="3" t="s">
        <v>58</v>
      </c>
      <c r="B114" s="70" t="s">
        <v>59</v>
      </c>
      <c r="C114" s="70" t="s">
        <v>5</v>
      </c>
      <c r="E114" s="3" t="s">
        <v>165</v>
      </c>
      <c r="F114" s="70" t="s">
        <v>166</v>
      </c>
    </row>
    <row r="115" spans="1:7" ht="16.5" thickBot="1" x14ac:dyDescent="0.3">
      <c r="A115" s="4" t="s">
        <v>6</v>
      </c>
      <c r="B115" s="5" t="s">
        <v>115</v>
      </c>
      <c r="C115" s="62">
        <f>(C41+C94-C81+C106)/30*30/12</f>
        <v>297.25</v>
      </c>
      <c r="D115" s="54"/>
      <c r="E115" s="73"/>
      <c r="F115" s="71"/>
      <c r="G115" s="54"/>
    </row>
    <row r="116" spans="1:7" ht="16.5" thickBot="1" x14ac:dyDescent="0.3">
      <c r="A116" s="4" t="s">
        <v>8</v>
      </c>
      <c r="B116" s="5" t="s">
        <v>116</v>
      </c>
      <c r="C116" s="62">
        <f>(C41+C94-C81+C106)/30/12</f>
        <v>9.91</v>
      </c>
      <c r="E116" s="73"/>
      <c r="F116" s="71"/>
    </row>
    <row r="117" spans="1:7" ht="16.5" thickBot="1" x14ac:dyDescent="0.3">
      <c r="A117" s="4" t="s">
        <v>10</v>
      </c>
      <c r="B117" s="5" t="s">
        <v>117</v>
      </c>
      <c r="C117" s="62">
        <f>(C41+C94-C81+C106)/30/12</f>
        <v>9.91</v>
      </c>
      <c r="E117" s="73"/>
      <c r="F117" s="71"/>
    </row>
    <row r="118" spans="1:7" ht="16.5" thickBot="1" x14ac:dyDescent="0.3">
      <c r="A118" s="4" t="s">
        <v>12</v>
      </c>
      <c r="B118" s="5" t="s">
        <v>118</v>
      </c>
      <c r="C118" s="62">
        <f>(C41+C94-C81+C106)/30/12</f>
        <v>9.91</v>
      </c>
      <c r="E118" s="73"/>
      <c r="F118" s="71"/>
    </row>
    <row r="119" spans="1:7" ht="16.5" thickBot="1" x14ac:dyDescent="0.3">
      <c r="A119" s="4" t="s">
        <v>14</v>
      </c>
      <c r="B119" s="5" t="s">
        <v>119</v>
      </c>
      <c r="C119" s="62">
        <f>(C41+C94-C81+C106)/30/12</f>
        <v>9.91</v>
      </c>
      <c r="E119" s="73"/>
      <c r="F119" s="71"/>
    </row>
    <row r="120" spans="1:7" ht="17.25" customHeight="1" thickBot="1" x14ac:dyDescent="0.3">
      <c r="A120" s="4" t="s">
        <v>35</v>
      </c>
      <c r="B120" s="5" t="s">
        <v>156</v>
      </c>
      <c r="C120" s="62">
        <f>(C41+C94-C81+C106)/30/12</f>
        <v>9.91</v>
      </c>
      <c r="E120" s="73"/>
      <c r="F120" s="71"/>
    </row>
    <row r="121" spans="1:7" ht="16.5" thickBot="1" x14ac:dyDescent="0.3">
      <c r="A121" s="162" t="s">
        <v>40</v>
      </c>
      <c r="B121" s="163"/>
      <c r="C121" s="53">
        <f>SUM(C115:C120)</f>
        <v>346.8</v>
      </c>
      <c r="E121" s="73"/>
      <c r="F121" s="71"/>
    </row>
    <row r="124" spans="1:7" x14ac:dyDescent="0.25">
      <c r="A124" s="161" t="s">
        <v>120</v>
      </c>
      <c r="B124" s="161"/>
      <c r="C124" s="161"/>
    </row>
    <row r="125" spans="1:7" ht="16.5" thickBot="1" x14ac:dyDescent="0.3">
      <c r="A125" s="8"/>
    </row>
    <row r="126" spans="1:7" ht="16.5" thickBot="1" x14ac:dyDescent="0.3">
      <c r="A126" s="3" t="s">
        <v>60</v>
      </c>
      <c r="B126" s="70" t="s">
        <v>61</v>
      </c>
      <c r="C126" s="3" t="s">
        <v>5</v>
      </c>
      <c r="E126" s="3" t="s">
        <v>165</v>
      </c>
      <c r="F126" s="70" t="s">
        <v>166</v>
      </c>
    </row>
    <row r="127" spans="1:7" ht="16.5" thickBot="1" x14ac:dyDescent="0.3">
      <c r="A127" s="4" t="s">
        <v>6</v>
      </c>
      <c r="B127" s="5" t="s">
        <v>121</v>
      </c>
      <c r="C127" s="74">
        <v>0</v>
      </c>
      <c r="E127" s="73"/>
      <c r="F127" s="71"/>
    </row>
    <row r="128" spans="1:7" ht="16.5" thickBot="1" x14ac:dyDescent="0.3">
      <c r="A128" s="162" t="s">
        <v>18</v>
      </c>
      <c r="B128" s="163"/>
      <c r="C128" s="75"/>
      <c r="E128" s="73"/>
      <c r="F128" s="71"/>
    </row>
    <row r="131" spans="1:6" x14ac:dyDescent="0.25">
      <c r="A131" s="161" t="s">
        <v>62</v>
      </c>
      <c r="B131" s="161"/>
      <c r="C131" s="161"/>
    </row>
    <row r="132" spans="1:6" ht="16.5" thickBot="1" x14ac:dyDescent="0.3">
      <c r="A132" s="8"/>
    </row>
    <row r="133" spans="1:6" ht="16.5" thickBot="1" x14ac:dyDescent="0.3">
      <c r="A133" s="3">
        <v>4</v>
      </c>
      <c r="B133" s="70" t="s">
        <v>63</v>
      </c>
      <c r="C133" s="70" t="s">
        <v>5</v>
      </c>
      <c r="E133" s="3" t="s">
        <v>165</v>
      </c>
      <c r="F133" s="70" t="s">
        <v>166</v>
      </c>
    </row>
    <row r="134" spans="1:6" ht="16.5" thickBot="1" x14ac:dyDescent="0.3">
      <c r="A134" s="4" t="s">
        <v>58</v>
      </c>
      <c r="B134" s="5" t="s">
        <v>122</v>
      </c>
      <c r="C134" s="53">
        <f>C121</f>
        <v>346.8</v>
      </c>
      <c r="E134" s="73"/>
      <c r="F134" s="71"/>
    </row>
    <row r="135" spans="1:6" ht="16.5" thickBot="1" x14ac:dyDescent="0.3">
      <c r="A135" s="4" t="s">
        <v>60</v>
      </c>
      <c r="B135" s="5" t="s">
        <v>123</v>
      </c>
      <c r="C135" s="55">
        <f>C127</f>
        <v>0</v>
      </c>
      <c r="E135" s="73"/>
      <c r="F135" s="71"/>
    </row>
    <row r="136" spans="1:6" ht="16.5" thickBot="1" x14ac:dyDescent="0.3">
      <c r="A136" s="162" t="s">
        <v>18</v>
      </c>
      <c r="B136" s="163"/>
      <c r="C136" s="53">
        <f>SUM(C134:C135)</f>
        <v>346.8</v>
      </c>
      <c r="E136" s="73"/>
      <c r="F136" s="71"/>
    </row>
    <row r="139" spans="1:6" x14ac:dyDescent="0.25">
      <c r="A139" s="160" t="s">
        <v>64</v>
      </c>
      <c r="B139" s="160"/>
      <c r="C139" s="160"/>
    </row>
    <row r="140" spans="1:6" ht="16.5" thickBot="1" x14ac:dyDescent="0.3"/>
    <row r="141" spans="1:6" ht="16.5" thickBot="1" x14ac:dyDescent="0.3">
      <c r="A141" s="3">
        <v>5</v>
      </c>
      <c r="B141" s="14" t="s">
        <v>65</v>
      </c>
      <c r="C141" s="70" t="s">
        <v>5</v>
      </c>
      <c r="E141" s="3" t="s">
        <v>165</v>
      </c>
      <c r="F141" s="70" t="s">
        <v>166</v>
      </c>
    </row>
    <row r="142" spans="1:6" ht="16.5" thickBot="1" x14ac:dyDescent="0.3">
      <c r="A142" s="4" t="s">
        <v>6</v>
      </c>
      <c r="B142" s="5" t="s">
        <v>66</v>
      </c>
      <c r="C142" s="53">
        <v>50</v>
      </c>
      <c r="E142" s="73"/>
      <c r="F142" s="71"/>
    </row>
    <row r="143" spans="1:6" ht="16.5" thickBot="1" x14ac:dyDescent="0.3">
      <c r="A143" s="4" t="s">
        <v>8</v>
      </c>
      <c r="B143" s="5" t="s">
        <v>67</v>
      </c>
      <c r="C143" s="53"/>
      <c r="E143" s="73"/>
      <c r="F143" s="71"/>
    </row>
    <row r="144" spans="1:6" ht="16.5" thickBot="1" x14ac:dyDescent="0.3">
      <c r="A144" s="4" t="s">
        <v>10</v>
      </c>
      <c r="B144" s="5" t="s">
        <v>145</v>
      </c>
      <c r="C144" s="53">
        <f>(369.99+397.51+459)/3/12+(30+25+30)/3</f>
        <v>62.4</v>
      </c>
      <c r="E144" s="73"/>
      <c r="F144" s="71"/>
    </row>
    <row r="145" spans="1:7" ht="16.5" thickBot="1" x14ac:dyDescent="0.3">
      <c r="A145" s="4" t="s">
        <v>12</v>
      </c>
      <c r="B145" s="5" t="s">
        <v>17</v>
      </c>
      <c r="C145" s="53"/>
      <c r="E145" s="73"/>
      <c r="F145" s="71"/>
    </row>
    <row r="146" spans="1:7" ht="16.5" thickBot="1" x14ac:dyDescent="0.3">
      <c r="A146" s="162" t="s">
        <v>40</v>
      </c>
      <c r="B146" s="163"/>
      <c r="C146" s="53">
        <f>SUM(C142:C145)</f>
        <v>112.4</v>
      </c>
      <c r="E146" s="73"/>
      <c r="F146" s="71"/>
    </row>
    <row r="147" spans="1:7" x14ac:dyDescent="0.25">
      <c r="A147" s="2" t="s">
        <v>124</v>
      </c>
    </row>
    <row r="149" spans="1:7" x14ac:dyDescent="0.25">
      <c r="A149" s="160" t="s">
        <v>68</v>
      </c>
      <c r="B149" s="160"/>
      <c r="C149" s="160"/>
    </row>
    <row r="150" spans="1:7" ht="16.5" thickBot="1" x14ac:dyDescent="0.3"/>
    <row r="151" spans="1:7" ht="16.5" thickBot="1" x14ac:dyDescent="0.3">
      <c r="A151" s="3">
        <v>6</v>
      </c>
      <c r="B151" s="14" t="s">
        <v>69</v>
      </c>
      <c r="C151" s="70" t="s">
        <v>29</v>
      </c>
      <c r="D151" s="70" t="s">
        <v>5</v>
      </c>
      <c r="E151" s="3" t="s">
        <v>165</v>
      </c>
      <c r="F151" s="70" t="s">
        <v>166</v>
      </c>
    </row>
    <row r="152" spans="1:7" ht="16.5" thickBot="1" x14ac:dyDescent="0.3">
      <c r="A152" s="4" t="s">
        <v>6</v>
      </c>
      <c r="B152" s="5" t="s">
        <v>70</v>
      </c>
      <c r="C152" s="9">
        <v>0.06</v>
      </c>
      <c r="D152" s="69">
        <f>C170*C152</f>
        <v>300.37</v>
      </c>
      <c r="E152" s="73"/>
      <c r="F152" s="71"/>
    </row>
    <row r="153" spans="1:7" ht="16.5" thickBot="1" x14ac:dyDescent="0.3">
      <c r="A153" s="4" t="s">
        <v>8</v>
      </c>
      <c r="B153" s="5" t="s">
        <v>71</v>
      </c>
      <c r="C153" s="9">
        <v>6.7900000000000002E-2</v>
      </c>
      <c r="D153" s="69">
        <f>($C$170+$D$152)/(1-$C$153-$C$155-$C$157)*C153</f>
        <v>456.33</v>
      </c>
      <c r="E153" s="73"/>
      <c r="F153" s="71"/>
    </row>
    <row r="154" spans="1:7" ht="16.5" thickBot="1" x14ac:dyDescent="0.3">
      <c r="A154" s="4" t="s">
        <v>10</v>
      </c>
      <c r="B154" s="5" t="s">
        <v>72</v>
      </c>
      <c r="C154" s="9"/>
      <c r="D154" s="53"/>
      <c r="E154" s="73"/>
      <c r="F154" s="71"/>
    </row>
    <row r="155" spans="1:7" ht="16.5" thickBot="1" x14ac:dyDescent="0.3">
      <c r="A155" s="4"/>
      <c r="B155" s="5" t="s">
        <v>146</v>
      </c>
      <c r="C155" s="66">
        <v>9.2499999999999999E-2</v>
      </c>
      <c r="D155" s="69">
        <f>($C$170+$D$152)/(1-$C$153-$C$155-$C$157)*C155</f>
        <v>621.65</v>
      </c>
      <c r="E155" s="73"/>
      <c r="F155" s="71"/>
      <c r="G155" s="54"/>
    </row>
    <row r="156" spans="1:7" ht="16.5" thickBot="1" x14ac:dyDescent="0.3">
      <c r="A156" s="4"/>
      <c r="B156" s="5" t="s">
        <v>73</v>
      </c>
      <c r="C156" s="6"/>
      <c r="D156" s="53"/>
      <c r="E156" s="73"/>
      <c r="F156" s="71"/>
    </row>
    <row r="157" spans="1:7" ht="16.5" thickBot="1" x14ac:dyDescent="0.3">
      <c r="A157" s="4"/>
      <c r="B157" s="5" t="s">
        <v>74</v>
      </c>
      <c r="C157" s="9">
        <v>0.05</v>
      </c>
      <c r="D157" s="69">
        <f>($C$170+$D$152)/(1-$C$153-$C$155-$C$157)*C157</f>
        <v>336.03</v>
      </c>
      <c r="E157" s="73"/>
      <c r="F157" s="71"/>
    </row>
    <row r="158" spans="1:7" ht="16.5" thickBot="1" x14ac:dyDescent="0.3">
      <c r="A158" s="162" t="s">
        <v>40</v>
      </c>
      <c r="B158" s="163"/>
      <c r="C158" s="9">
        <f>C152+C153+C155+C157</f>
        <v>0.27039999999999997</v>
      </c>
      <c r="D158" s="55">
        <f>SUM(D152:D157)</f>
        <v>1714.38</v>
      </c>
      <c r="E158" s="73"/>
      <c r="F158" s="71"/>
    </row>
    <row r="159" spans="1:7" x14ac:dyDescent="0.25">
      <c r="A159" s="2" t="s">
        <v>125</v>
      </c>
      <c r="B159" s="40"/>
      <c r="C159" s="43"/>
      <c r="D159" s="47"/>
    </row>
    <row r="160" spans="1:7" x14ac:dyDescent="0.25">
      <c r="A160" s="2" t="s">
        <v>126</v>
      </c>
    </row>
    <row r="162" spans="1:6" x14ac:dyDescent="0.25">
      <c r="A162" s="160" t="s">
        <v>75</v>
      </c>
      <c r="B162" s="160"/>
      <c r="C162" s="160"/>
    </row>
    <row r="163" spans="1:6" ht="16.5" thickBot="1" x14ac:dyDescent="0.3"/>
    <row r="164" spans="1:6" ht="16.5" thickBot="1" x14ac:dyDescent="0.3">
      <c r="A164" s="3"/>
      <c r="B164" s="70" t="s">
        <v>76</v>
      </c>
      <c r="C164" s="70" t="s">
        <v>5</v>
      </c>
      <c r="E164" s="3" t="s">
        <v>165</v>
      </c>
      <c r="F164" s="70" t="s">
        <v>166</v>
      </c>
    </row>
    <row r="165" spans="1:6" ht="16.5" thickBot="1" x14ac:dyDescent="0.3">
      <c r="A165" s="68" t="s">
        <v>6</v>
      </c>
      <c r="B165" s="5" t="s">
        <v>3</v>
      </c>
      <c r="C165" s="63">
        <f>C41</f>
        <v>1666.65</v>
      </c>
      <c r="E165" s="73"/>
      <c r="F165" s="71"/>
    </row>
    <row r="166" spans="1:6" ht="16.5" thickBot="1" x14ac:dyDescent="0.3">
      <c r="A166" s="68" t="s">
        <v>8</v>
      </c>
      <c r="B166" s="5" t="s">
        <v>19</v>
      </c>
      <c r="C166" s="63">
        <f>C94</f>
        <v>2662.45</v>
      </c>
      <c r="E166" s="73"/>
      <c r="F166" s="71"/>
    </row>
    <row r="167" spans="1:6" ht="16.5" thickBot="1" x14ac:dyDescent="0.3">
      <c r="A167" s="68" t="s">
        <v>10</v>
      </c>
      <c r="B167" s="5" t="s">
        <v>51</v>
      </c>
      <c r="C167" s="64">
        <f>C106</f>
        <v>217.91</v>
      </c>
      <c r="E167" s="73"/>
      <c r="F167" s="71"/>
    </row>
    <row r="168" spans="1:6" ht="16.5" thickBot="1" x14ac:dyDescent="0.3">
      <c r="A168" s="68" t="s">
        <v>12</v>
      </c>
      <c r="B168" s="5" t="s">
        <v>57</v>
      </c>
      <c r="C168" s="63">
        <f>C136</f>
        <v>346.8</v>
      </c>
      <c r="E168" s="73"/>
      <c r="F168" s="71"/>
    </row>
    <row r="169" spans="1:6" ht="16.5" thickBot="1" x14ac:dyDescent="0.3">
      <c r="A169" s="68" t="s">
        <v>14</v>
      </c>
      <c r="B169" s="5" t="s">
        <v>64</v>
      </c>
      <c r="C169" s="63">
        <f>C146</f>
        <v>112.4</v>
      </c>
      <c r="E169" s="73"/>
      <c r="F169" s="71"/>
    </row>
    <row r="170" spans="1:6" ht="16.5" thickBot="1" x14ac:dyDescent="0.3">
      <c r="A170" s="162" t="s">
        <v>77</v>
      </c>
      <c r="B170" s="163"/>
      <c r="C170" s="63">
        <f>SUM(C165:C169)</f>
        <v>5006.21</v>
      </c>
      <c r="E170" s="73"/>
      <c r="F170" s="71"/>
    </row>
    <row r="171" spans="1:6" ht="16.5" thickBot="1" x14ac:dyDescent="0.3">
      <c r="A171" s="68" t="s">
        <v>35</v>
      </c>
      <c r="B171" s="5" t="s">
        <v>78</v>
      </c>
      <c r="C171" s="64">
        <f>D158</f>
        <v>1714.38</v>
      </c>
      <c r="E171" s="73"/>
      <c r="F171" s="71"/>
    </row>
    <row r="172" spans="1:6" ht="16.5" thickBot="1" x14ac:dyDescent="0.3">
      <c r="A172" s="162" t="s">
        <v>79</v>
      </c>
      <c r="B172" s="163"/>
      <c r="C172" s="65">
        <f>C171+C170</f>
        <v>6720.59</v>
      </c>
      <c r="D172" s="49"/>
      <c r="E172" s="73"/>
      <c r="F172" s="71"/>
    </row>
    <row r="173" spans="1:6" x14ac:dyDescent="0.25">
      <c r="D173" s="48"/>
      <c r="E173" s="48"/>
      <c r="F173" s="48"/>
    </row>
    <row r="175" spans="1:6" x14ac:dyDescent="0.25">
      <c r="A175" s="160" t="s">
        <v>127</v>
      </c>
      <c r="B175" s="160"/>
      <c r="C175" s="160"/>
    </row>
    <row r="176" spans="1:6" ht="16.5" thickBot="1" x14ac:dyDescent="0.3"/>
    <row r="177" spans="1:7" ht="63.75" thickBot="1" x14ac:dyDescent="0.3">
      <c r="A177" s="162" t="s">
        <v>128</v>
      </c>
      <c r="B177" s="163"/>
      <c r="C177" s="70" t="s">
        <v>130</v>
      </c>
      <c r="D177" s="70" t="s">
        <v>131</v>
      </c>
      <c r="E177" s="70" t="s">
        <v>132</v>
      </c>
      <c r="F177" s="70" t="s">
        <v>133</v>
      </c>
      <c r="G177" s="70" t="s">
        <v>134</v>
      </c>
    </row>
    <row r="178" spans="1:7" ht="16.5" thickBot="1" x14ac:dyDescent="0.3">
      <c r="A178" s="68" t="s">
        <v>129</v>
      </c>
      <c r="B178" s="5" t="str">
        <f>C25</f>
        <v>Motorista - CNH "d"</v>
      </c>
      <c r="C178" s="63">
        <f>C172</f>
        <v>6720.59</v>
      </c>
      <c r="D178" s="15">
        <v>1</v>
      </c>
      <c r="E178" s="63">
        <f>D178*C178</f>
        <v>6720.59</v>
      </c>
      <c r="F178" s="15">
        <v>1</v>
      </c>
      <c r="G178" s="63">
        <f>F178*E178</f>
        <v>6720.59</v>
      </c>
    </row>
    <row r="179" spans="1:7" ht="16.5" thickBot="1" x14ac:dyDescent="0.3">
      <c r="A179" s="68"/>
      <c r="B179" s="5"/>
      <c r="C179" s="15"/>
      <c r="D179" s="15"/>
      <c r="E179" s="15"/>
      <c r="F179" s="15"/>
      <c r="G179" s="15"/>
    </row>
    <row r="181" spans="1:7" x14ac:dyDescent="0.25">
      <c r="A181" s="160" t="s">
        <v>135</v>
      </c>
      <c r="B181" s="160"/>
      <c r="C181" s="160"/>
    </row>
    <row r="182" spans="1:7" ht="16.5" thickBot="1" x14ac:dyDescent="0.3"/>
    <row r="183" spans="1:7" ht="16.5" thickBot="1" x14ac:dyDescent="0.3">
      <c r="A183" s="3"/>
      <c r="B183" s="70" t="s">
        <v>136</v>
      </c>
      <c r="C183" s="70" t="s">
        <v>5</v>
      </c>
    </row>
    <row r="184" spans="1:7" ht="16.5" thickBot="1" x14ac:dyDescent="0.3">
      <c r="A184" s="68" t="s">
        <v>6</v>
      </c>
      <c r="B184" s="5" t="s">
        <v>137</v>
      </c>
      <c r="C184" s="63">
        <f>E178</f>
        <v>6720.59</v>
      </c>
    </row>
    <row r="185" spans="1:7" ht="16.5" thickBot="1" x14ac:dyDescent="0.3">
      <c r="A185" s="68" t="s">
        <v>8</v>
      </c>
      <c r="B185" s="5" t="s">
        <v>138</v>
      </c>
      <c r="C185" s="63">
        <f>G178</f>
        <v>6720.59</v>
      </c>
    </row>
    <row r="186" spans="1:7" ht="32.25" thickBot="1" x14ac:dyDescent="0.3">
      <c r="A186" s="68" t="s">
        <v>10</v>
      </c>
      <c r="B186" s="5" t="s">
        <v>139</v>
      </c>
      <c r="C186" s="64">
        <f>C185*12</f>
        <v>80647.08</v>
      </c>
    </row>
    <row r="187" spans="1:7" x14ac:dyDescent="0.25">
      <c r="A187" s="2" t="s">
        <v>140</v>
      </c>
    </row>
  </sheetData>
  <mergeCells count="30">
    <mergeCell ref="A181:C181"/>
    <mergeCell ref="A131:C131"/>
    <mergeCell ref="A136:B136"/>
    <mergeCell ref="A139:C139"/>
    <mergeCell ref="A146:B146"/>
    <mergeCell ref="A149:C149"/>
    <mergeCell ref="A158:B158"/>
    <mergeCell ref="A162:C162"/>
    <mergeCell ref="A170:B170"/>
    <mergeCell ref="A172:B172"/>
    <mergeCell ref="A175:C175"/>
    <mergeCell ref="A177:B177"/>
    <mergeCell ref="A128:B128"/>
    <mergeCell ref="A68:B68"/>
    <mergeCell ref="A73:C73"/>
    <mergeCell ref="A83:B83"/>
    <mergeCell ref="A88:C88"/>
    <mergeCell ref="A94:B94"/>
    <mergeCell ref="A97:C97"/>
    <mergeCell ref="A106:B106"/>
    <mergeCell ref="A109:C109"/>
    <mergeCell ref="A112:C112"/>
    <mergeCell ref="A121:B121"/>
    <mergeCell ref="A124:C124"/>
    <mergeCell ref="A57:D57"/>
    <mergeCell ref="A31:C31"/>
    <mergeCell ref="A41:B41"/>
    <mergeCell ref="A44:C44"/>
    <mergeCell ref="A46:C46"/>
    <mergeCell ref="A52:B52"/>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D21CB-E5A9-452B-8466-CD50DC33FA88}">
  <dimension ref="A1:G187"/>
  <sheetViews>
    <sheetView topLeftCell="A104" workbookViewId="0">
      <selection activeCell="C103" sqref="C103"/>
    </sheetView>
  </sheetViews>
  <sheetFormatPr defaultRowHeight="15.75" x14ac:dyDescent="0.25"/>
  <cols>
    <col min="1" max="1" width="14.42578125" style="2" customWidth="1"/>
    <col min="2" max="2" width="72.140625" style="2" customWidth="1"/>
    <col min="3" max="3" width="28.140625" style="2" customWidth="1"/>
    <col min="4" max="4" width="14.28515625" style="2" customWidth="1"/>
    <col min="5" max="6" width="14.5703125" style="2" bestFit="1" customWidth="1"/>
    <col min="7" max="7" width="15.140625" style="2" customWidth="1"/>
    <col min="8" max="16384" width="9.140625" style="2"/>
  </cols>
  <sheetData>
    <row r="1" spans="1:4" ht="23.25" x14ac:dyDescent="0.35">
      <c r="A1" s="1" t="s">
        <v>0</v>
      </c>
      <c r="B1" s="1"/>
      <c r="C1" s="1"/>
      <c r="D1" s="1"/>
    </row>
    <row r="2" spans="1:4" ht="23.25" x14ac:dyDescent="0.35">
      <c r="A2" s="1" t="s">
        <v>1</v>
      </c>
      <c r="B2" s="1"/>
      <c r="C2" s="1"/>
      <c r="D2" s="1"/>
    </row>
    <row r="3" spans="1:4" ht="23.25" x14ac:dyDescent="0.35">
      <c r="A3" s="57" t="s">
        <v>144</v>
      </c>
      <c r="B3" s="56"/>
      <c r="C3" s="56"/>
      <c r="D3" s="56"/>
    </row>
    <row r="4" spans="1:4" x14ac:dyDescent="0.25">
      <c r="A4" s="18" t="s">
        <v>2</v>
      </c>
      <c r="B4" s="18"/>
      <c r="C4" s="22" t="s">
        <v>141</v>
      </c>
      <c r="D4" s="16"/>
    </row>
    <row r="5" spans="1:4" x14ac:dyDescent="0.25">
      <c r="A5" s="19" t="s">
        <v>87</v>
      </c>
      <c r="B5" s="20"/>
      <c r="C5" s="23" t="s">
        <v>161</v>
      </c>
      <c r="D5" s="17"/>
    </row>
    <row r="6" spans="1:4" x14ac:dyDescent="0.25">
      <c r="A6" s="19" t="s">
        <v>88</v>
      </c>
      <c r="B6" s="20"/>
      <c r="C6" s="23" t="s">
        <v>162</v>
      </c>
      <c r="D6" s="17"/>
    </row>
    <row r="7" spans="1:4" x14ac:dyDescent="0.25">
      <c r="A7" s="19"/>
      <c r="B7" s="20"/>
      <c r="C7" s="26"/>
      <c r="D7" s="17"/>
    </row>
    <row r="8" spans="1:4" x14ac:dyDescent="0.25">
      <c r="A8" s="20"/>
      <c r="B8" s="21" t="s">
        <v>80</v>
      </c>
      <c r="C8" s="28"/>
      <c r="D8" s="17"/>
    </row>
    <row r="9" spans="1:4" x14ac:dyDescent="0.25">
      <c r="A9" s="20" t="s">
        <v>6</v>
      </c>
      <c r="B9" s="19" t="s">
        <v>81</v>
      </c>
      <c r="C9" s="25"/>
      <c r="D9" s="17"/>
    </row>
    <row r="10" spans="1:4" x14ac:dyDescent="0.25">
      <c r="A10" s="20" t="s">
        <v>8</v>
      </c>
      <c r="B10" s="19" t="s">
        <v>82</v>
      </c>
      <c r="C10" s="25"/>
      <c r="D10" s="17"/>
    </row>
    <row r="11" spans="1:4" x14ac:dyDescent="0.25">
      <c r="A11" s="20" t="s">
        <v>10</v>
      </c>
      <c r="B11" s="19" t="s">
        <v>83</v>
      </c>
      <c r="C11" s="25">
        <v>2021</v>
      </c>
      <c r="D11" s="17"/>
    </row>
    <row r="12" spans="1:4" x14ac:dyDescent="0.25">
      <c r="A12" s="20" t="s">
        <v>12</v>
      </c>
      <c r="B12" s="19" t="s">
        <v>142</v>
      </c>
      <c r="C12" s="50" t="s">
        <v>155</v>
      </c>
      <c r="D12" s="17"/>
    </row>
    <row r="13" spans="1:4" x14ac:dyDescent="0.25">
      <c r="A13" s="20" t="s">
        <v>14</v>
      </c>
      <c r="B13" s="19" t="s">
        <v>89</v>
      </c>
      <c r="C13" s="29" t="s">
        <v>90</v>
      </c>
      <c r="D13" s="17"/>
    </row>
    <row r="14" spans="1:4" x14ac:dyDescent="0.25">
      <c r="A14" s="20"/>
      <c r="B14" s="19"/>
      <c r="C14" s="30"/>
      <c r="D14" s="17"/>
    </row>
    <row r="15" spans="1:4" x14ac:dyDescent="0.25">
      <c r="A15" s="20"/>
      <c r="B15" s="21" t="s">
        <v>91</v>
      </c>
      <c r="C15" s="20"/>
      <c r="D15" s="17"/>
    </row>
    <row r="16" spans="1:4" x14ac:dyDescent="0.25">
      <c r="A16" s="20" t="s">
        <v>6</v>
      </c>
      <c r="B16" s="19" t="s">
        <v>84</v>
      </c>
      <c r="C16" s="27" t="s">
        <v>93</v>
      </c>
      <c r="D16" s="17"/>
    </row>
    <row r="17" spans="1:4" x14ac:dyDescent="0.25">
      <c r="A17" s="20" t="s">
        <v>8</v>
      </c>
      <c r="B17" s="19" t="s">
        <v>85</v>
      </c>
      <c r="C17" s="24" t="s">
        <v>86</v>
      </c>
      <c r="D17" s="17"/>
    </row>
    <row r="18" spans="1:4" x14ac:dyDescent="0.25">
      <c r="A18" s="20" t="s">
        <v>10</v>
      </c>
      <c r="B18" s="19" t="s">
        <v>92</v>
      </c>
      <c r="C18" s="29">
        <v>2</v>
      </c>
      <c r="D18" s="17"/>
    </row>
    <row r="19" spans="1:4" x14ac:dyDescent="0.25">
      <c r="A19" s="31" t="s">
        <v>94</v>
      </c>
      <c r="B19" s="31"/>
      <c r="C19" s="17"/>
      <c r="D19" s="17"/>
    </row>
    <row r="20" spans="1:4" x14ac:dyDescent="0.25">
      <c r="A20" s="31"/>
      <c r="B20" s="31"/>
      <c r="C20" s="17"/>
      <c r="D20" s="17"/>
    </row>
    <row r="21" spans="1:4" x14ac:dyDescent="0.25">
      <c r="A21" s="39" t="s">
        <v>95</v>
      </c>
      <c r="B21" s="32"/>
      <c r="C21" s="33"/>
      <c r="D21" s="17"/>
    </row>
    <row r="22" spans="1:4" x14ac:dyDescent="0.25">
      <c r="A22" s="34" t="s">
        <v>97</v>
      </c>
      <c r="B22" s="31"/>
      <c r="C22" s="35"/>
      <c r="D22" s="17"/>
    </row>
    <row r="23" spans="1:4" x14ac:dyDescent="0.25">
      <c r="A23" s="36" t="s">
        <v>98</v>
      </c>
      <c r="B23" s="37"/>
      <c r="C23" s="38"/>
      <c r="D23" s="17"/>
    </row>
    <row r="24" spans="1:4" x14ac:dyDescent="0.25">
      <c r="A24" s="19"/>
      <c r="B24" s="21" t="s">
        <v>99</v>
      </c>
      <c r="C24" s="20"/>
      <c r="D24" s="17"/>
    </row>
    <row r="25" spans="1:4" x14ac:dyDescent="0.25">
      <c r="A25" s="19">
        <v>1</v>
      </c>
      <c r="B25" s="19" t="s">
        <v>100</v>
      </c>
      <c r="C25" s="27" t="s">
        <v>157</v>
      </c>
      <c r="D25" s="17"/>
    </row>
    <row r="26" spans="1:4" x14ac:dyDescent="0.25">
      <c r="A26" s="19">
        <v>2</v>
      </c>
      <c r="B26" s="19" t="s">
        <v>101</v>
      </c>
      <c r="C26" s="24" t="s">
        <v>158</v>
      </c>
      <c r="D26" s="17"/>
    </row>
    <row r="27" spans="1:4" x14ac:dyDescent="0.25">
      <c r="A27" s="19">
        <v>3</v>
      </c>
      <c r="B27" s="19" t="s">
        <v>96</v>
      </c>
      <c r="C27" s="51">
        <v>1666.65</v>
      </c>
      <c r="D27" s="17"/>
    </row>
    <row r="28" spans="1:4" x14ac:dyDescent="0.25">
      <c r="A28" s="19">
        <v>4</v>
      </c>
      <c r="B28" s="19" t="s">
        <v>102</v>
      </c>
      <c r="C28" s="24" t="s">
        <v>159</v>
      </c>
      <c r="D28" s="17"/>
    </row>
    <row r="29" spans="1:4" x14ac:dyDescent="0.25">
      <c r="A29" s="19">
        <v>5</v>
      </c>
      <c r="B29" s="19" t="s">
        <v>103</v>
      </c>
      <c r="C29" s="29" t="s">
        <v>160</v>
      </c>
      <c r="D29" s="17"/>
    </row>
    <row r="30" spans="1:4" x14ac:dyDescent="0.25">
      <c r="A30" s="31"/>
      <c r="B30" s="31"/>
      <c r="C30" s="17"/>
      <c r="D30" s="17"/>
    </row>
    <row r="31" spans="1:4" x14ac:dyDescent="0.25">
      <c r="A31" s="160" t="s">
        <v>3</v>
      </c>
      <c r="B31" s="160"/>
      <c r="C31" s="160"/>
    </row>
    <row r="32" spans="1:4" ht="16.5" thickBot="1" x14ac:dyDescent="0.3"/>
    <row r="33" spans="1:4" ht="16.5" thickBot="1" x14ac:dyDescent="0.3">
      <c r="A33" s="3">
        <v>1</v>
      </c>
      <c r="B33" s="70" t="s">
        <v>4</v>
      </c>
      <c r="C33" s="70" t="s">
        <v>5</v>
      </c>
    </row>
    <row r="34" spans="1:4" ht="16.5" thickBot="1" x14ac:dyDescent="0.3">
      <c r="A34" s="4" t="s">
        <v>6</v>
      </c>
      <c r="B34" s="5" t="s">
        <v>7</v>
      </c>
      <c r="C34" s="52">
        <v>2912.67</v>
      </c>
    </row>
    <row r="35" spans="1:4" ht="16.5" thickBot="1" x14ac:dyDescent="0.3">
      <c r="A35" s="4" t="s">
        <v>8</v>
      </c>
      <c r="B35" s="5" t="s">
        <v>9</v>
      </c>
      <c r="C35" s="7"/>
    </row>
    <row r="36" spans="1:4" ht="16.5" thickBot="1" x14ac:dyDescent="0.3">
      <c r="A36" s="4" t="s">
        <v>10</v>
      </c>
      <c r="B36" s="5" t="s">
        <v>11</v>
      </c>
      <c r="C36" s="6"/>
    </row>
    <row r="37" spans="1:4" ht="16.5" thickBot="1" x14ac:dyDescent="0.3">
      <c r="A37" s="4" t="s">
        <v>12</v>
      </c>
      <c r="B37" s="5" t="s">
        <v>13</v>
      </c>
      <c r="C37" s="6"/>
    </row>
    <row r="38" spans="1:4" ht="16.5" thickBot="1" x14ac:dyDescent="0.3">
      <c r="A38" s="4" t="s">
        <v>14</v>
      </c>
      <c r="B38" s="5" t="s">
        <v>15</v>
      </c>
      <c r="C38" s="6"/>
    </row>
    <row r="39" spans="1:4" ht="16.5" thickBot="1" x14ac:dyDescent="0.3">
      <c r="A39" s="4"/>
      <c r="B39" s="5"/>
      <c r="C39" s="53"/>
    </row>
    <row r="40" spans="1:4" ht="16.5" thickBot="1" x14ac:dyDescent="0.3">
      <c r="A40" s="4" t="s">
        <v>16</v>
      </c>
      <c r="B40" s="5" t="s">
        <v>17</v>
      </c>
      <c r="C40" s="6"/>
    </row>
    <row r="41" spans="1:4" ht="16.5" thickBot="1" x14ac:dyDescent="0.3">
      <c r="A41" s="162" t="s">
        <v>18</v>
      </c>
      <c r="B41" s="163"/>
      <c r="C41" s="53">
        <f>SUM(C34:C40)</f>
        <v>2912.67</v>
      </c>
      <c r="D41" s="60"/>
    </row>
    <row r="42" spans="1:4" x14ac:dyDescent="0.25">
      <c r="A42" s="2" t="s">
        <v>104</v>
      </c>
    </row>
    <row r="44" spans="1:4" x14ac:dyDescent="0.25">
      <c r="A44" s="160" t="s">
        <v>19</v>
      </c>
      <c r="B44" s="160"/>
      <c r="C44" s="160"/>
    </row>
    <row r="45" spans="1:4" x14ac:dyDescent="0.25">
      <c r="A45" s="8"/>
    </row>
    <row r="46" spans="1:4" x14ac:dyDescent="0.25">
      <c r="A46" s="161" t="s">
        <v>20</v>
      </c>
      <c r="B46" s="161"/>
      <c r="C46" s="161"/>
    </row>
    <row r="47" spans="1:4" ht="16.5" thickBot="1" x14ac:dyDescent="0.3"/>
    <row r="48" spans="1:4" ht="16.5" thickBot="1" x14ac:dyDescent="0.3">
      <c r="A48" s="3" t="s">
        <v>21</v>
      </c>
      <c r="B48" s="70" t="s">
        <v>22</v>
      </c>
      <c r="C48" s="70" t="s">
        <v>5</v>
      </c>
    </row>
    <row r="49" spans="1:4" ht="16.5" thickBot="1" x14ac:dyDescent="0.3">
      <c r="A49" s="4" t="s">
        <v>6</v>
      </c>
      <c r="B49" s="5" t="s">
        <v>23</v>
      </c>
      <c r="C49" s="7">
        <f>C34*1/12</f>
        <v>242.72</v>
      </c>
    </row>
    <row r="50" spans="1:4" ht="16.5" thickBot="1" x14ac:dyDescent="0.3">
      <c r="A50" s="4" t="s">
        <v>8</v>
      </c>
      <c r="B50" s="5" t="s">
        <v>24</v>
      </c>
      <c r="C50" s="7">
        <f>C34*1/12</f>
        <v>242.72</v>
      </c>
    </row>
    <row r="51" spans="1:4" ht="16.5" thickBot="1" x14ac:dyDescent="0.3">
      <c r="A51" s="4" t="s">
        <v>10</v>
      </c>
      <c r="B51" s="5" t="s">
        <v>25</v>
      </c>
      <c r="C51" s="7">
        <f>C34*1/3*1/12</f>
        <v>80.91</v>
      </c>
    </row>
    <row r="52" spans="1:4" ht="16.5" thickBot="1" x14ac:dyDescent="0.3">
      <c r="A52" s="162" t="s">
        <v>18</v>
      </c>
      <c r="B52" s="163"/>
      <c r="C52" s="7">
        <f>SUM(C49:C51)</f>
        <v>566.35</v>
      </c>
      <c r="D52" s="60"/>
    </row>
    <row r="53" spans="1:4" x14ac:dyDescent="0.25">
      <c r="A53" s="2" t="s">
        <v>105</v>
      </c>
      <c r="B53" s="45"/>
      <c r="C53" s="45"/>
    </row>
    <row r="54" spans="1:4" x14ac:dyDescent="0.25">
      <c r="A54" s="2" t="s">
        <v>106</v>
      </c>
      <c r="B54" s="46"/>
      <c r="C54" s="46"/>
    </row>
    <row r="55" spans="1:4" x14ac:dyDescent="0.25">
      <c r="A55" s="2" t="s">
        <v>107</v>
      </c>
      <c r="B55" s="42"/>
      <c r="C55" s="42"/>
    </row>
    <row r="57" spans="1:4" x14ac:dyDescent="0.25">
      <c r="A57" s="165" t="s">
        <v>26</v>
      </c>
      <c r="B57" s="165"/>
      <c r="C57" s="165"/>
      <c r="D57" s="165"/>
    </row>
    <row r="58" spans="1:4" ht="16.5" thickBot="1" x14ac:dyDescent="0.3"/>
    <row r="59" spans="1:4" ht="16.5" thickBot="1" x14ac:dyDescent="0.3">
      <c r="A59" s="3" t="s">
        <v>27</v>
      </c>
      <c r="B59" s="70" t="s">
        <v>28</v>
      </c>
      <c r="C59" s="70" t="s">
        <v>29</v>
      </c>
      <c r="D59" s="70" t="s">
        <v>5</v>
      </c>
    </row>
    <row r="60" spans="1:4" ht="16.5" thickBot="1" x14ac:dyDescent="0.3">
      <c r="A60" s="4" t="s">
        <v>6</v>
      </c>
      <c r="B60" s="5" t="s">
        <v>30</v>
      </c>
      <c r="C60" s="9">
        <v>0.2</v>
      </c>
      <c r="D60" s="53">
        <f>($C$41+$C$52)*C60</f>
        <v>695.8</v>
      </c>
    </row>
    <row r="61" spans="1:4" ht="16.5" thickBot="1" x14ac:dyDescent="0.3">
      <c r="A61" s="4" t="s">
        <v>8</v>
      </c>
      <c r="B61" s="5" t="s">
        <v>31</v>
      </c>
      <c r="C61" s="9">
        <v>2.5000000000000001E-2</v>
      </c>
      <c r="D61" s="53">
        <f t="shared" ref="D61:D67" si="0">($C$41+$C$52)*C61</f>
        <v>86.98</v>
      </c>
    </row>
    <row r="62" spans="1:4" ht="16.5" thickBot="1" x14ac:dyDescent="0.3">
      <c r="A62" s="4" t="s">
        <v>10</v>
      </c>
      <c r="B62" s="5" t="s">
        <v>32</v>
      </c>
      <c r="C62" s="9">
        <v>0.03</v>
      </c>
      <c r="D62" s="53">
        <f t="shared" si="0"/>
        <v>104.37</v>
      </c>
    </row>
    <row r="63" spans="1:4" ht="16.5" thickBot="1" x14ac:dyDescent="0.3">
      <c r="A63" s="4" t="s">
        <v>12</v>
      </c>
      <c r="B63" s="5" t="s">
        <v>33</v>
      </c>
      <c r="C63" s="9">
        <v>1.4999999999999999E-2</v>
      </c>
      <c r="D63" s="53">
        <f t="shared" si="0"/>
        <v>52.19</v>
      </c>
    </row>
    <row r="64" spans="1:4" ht="16.5" thickBot="1" x14ac:dyDescent="0.3">
      <c r="A64" s="4" t="s">
        <v>14</v>
      </c>
      <c r="B64" s="5" t="s">
        <v>34</v>
      </c>
      <c r="C64" s="9">
        <v>0.01</v>
      </c>
      <c r="D64" s="53">
        <f t="shared" si="0"/>
        <v>34.79</v>
      </c>
    </row>
    <row r="65" spans="1:4" ht="16.5" thickBot="1" x14ac:dyDescent="0.3">
      <c r="A65" s="4" t="s">
        <v>35</v>
      </c>
      <c r="B65" s="5" t="s">
        <v>36</v>
      </c>
      <c r="C65" s="9">
        <v>6.0000000000000001E-3</v>
      </c>
      <c r="D65" s="53">
        <f t="shared" si="0"/>
        <v>20.87</v>
      </c>
    </row>
    <row r="66" spans="1:4" ht="16.5" thickBot="1" x14ac:dyDescent="0.3">
      <c r="A66" s="4" t="s">
        <v>16</v>
      </c>
      <c r="B66" s="5" t="s">
        <v>37</v>
      </c>
      <c r="C66" s="9">
        <v>2E-3</v>
      </c>
      <c r="D66" s="53">
        <f t="shared" si="0"/>
        <v>6.96</v>
      </c>
    </row>
    <row r="67" spans="1:4" ht="16.5" thickBot="1" x14ac:dyDescent="0.3">
      <c r="A67" s="4" t="s">
        <v>38</v>
      </c>
      <c r="B67" s="5" t="s">
        <v>39</v>
      </c>
      <c r="C67" s="9">
        <v>0.08</v>
      </c>
      <c r="D67" s="53">
        <f t="shared" si="0"/>
        <v>278.32</v>
      </c>
    </row>
    <row r="68" spans="1:4" ht="16.5" thickBot="1" x14ac:dyDescent="0.3">
      <c r="A68" s="162" t="s">
        <v>40</v>
      </c>
      <c r="B68" s="163"/>
      <c r="C68" s="9">
        <f>SUM(C60:C67)</f>
        <v>0.36799999999999999</v>
      </c>
      <c r="D68" s="53">
        <f>SUM(D60:D67)</f>
        <v>1280.28</v>
      </c>
    </row>
    <row r="69" spans="1:4" x14ac:dyDescent="0.25">
      <c r="A69" s="2" t="s">
        <v>108</v>
      </c>
      <c r="B69" s="40"/>
      <c r="C69" s="44"/>
      <c r="D69" s="41"/>
    </row>
    <row r="70" spans="1:4" x14ac:dyDescent="0.25">
      <c r="A70" s="2" t="s">
        <v>109</v>
      </c>
      <c r="B70" s="40"/>
      <c r="C70" s="44"/>
      <c r="D70" s="41"/>
    </row>
    <row r="71" spans="1:4" x14ac:dyDescent="0.25">
      <c r="A71" s="2" t="s">
        <v>110</v>
      </c>
    </row>
    <row r="73" spans="1:4" x14ac:dyDescent="0.25">
      <c r="A73" s="161" t="s">
        <v>41</v>
      </c>
      <c r="B73" s="161"/>
      <c r="C73" s="161"/>
    </row>
    <row r="74" spans="1:4" ht="16.5" thickBot="1" x14ac:dyDescent="0.3"/>
    <row r="75" spans="1:4" ht="16.5" thickBot="1" x14ac:dyDescent="0.3">
      <c r="A75" s="3" t="s">
        <v>42</v>
      </c>
      <c r="B75" s="70" t="s">
        <v>43</v>
      </c>
      <c r="C75" s="70" t="s">
        <v>5</v>
      </c>
    </row>
    <row r="76" spans="1:4" ht="16.5" thickBot="1" x14ac:dyDescent="0.3">
      <c r="A76" s="4" t="s">
        <v>6</v>
      </c>
      <c r="B76" s="5" t="s">
        <v>44</v>
      </c>
      <c r="C76" s="53">
        <f>(4.3*2*22)-C41*6/100</f>
        <v>14.44</v>
      </c>
      <c r="D76" s="54"/>
    </row>
    <row r="77" spans="1:4" ht="16.5" thickBot="1" x14ac:dyDescent="0.3">
      <c r="A77" s="4" t="s">
        <v>8</v>
      </c>
      <c r="B77" s="5" t="s">
        <v>45</v>
      </c>
      <c r="C77" s="53">
        <f>(22*33)</f>
        <v>726</v>
      </c>
    </row>
    <row r="78" spans="1:4" ht="16.5" thickBot="1" x14ac:dyDescent="0.3">
      <c r="A78" s="4" t="s">
        <v>10</v>
      </c>
      <c r="B78" s="10" t="s">
        <v>46</v>
      </c>
      <c r="C78" s="53"/>
    </row>
    <row r="79" spans="1:4" ht="16.5" thickBot="1" x14ac:dyDescent="0.3">
      <c r="A79" s="4" t="s">
        <v>12</v>
      </c>
      <c r="B79" s="11" t="s">
        <v>47</v>
      </c>
      <c r="C79" s="53"/>
    </row>
    <row r="80" spans="1:4" ht="16.5" thickBot="1" x14ac:dyDescent="0.3">
      <c r="A80" s="4" t="s">
        <v>14</v>
      </c>
      <c r="B80" s="11" t="s">
        <v>48</v>
      </c>
      <c r="C80" s="53"/>
    </row>
    <row r="81" spans="1:5" ht="32.25" thickBot="1" x14ac:dyDescent="0.3">
      <c r="A81" s="4" t="s">
        <v>35</v>
      </c>
      <c r="B81" s="5" t="s">
        <v>143</v>
      </c>
      <c r="C81" s="53"/>
    </row>
    <row r="82" spans="1:5" ht="16.5" thickBot="1" x14ac:dyDescent="0.3">
      <c r="A82" s="67" t="s">
        <v>16</v>
      </c>
      <c r="B82" s="5" t="s">
        <v>147</v>
      </c>
      <c r="C82" s="53"/>
    </row>
    <row r="83" spans="1:5" ht="16.5" thickBot="1" x14ac:dyDescent="0.3">
      <c r="A83" s="162" t="s">
        <v>18</v>
      </c>
      <c r="B83" s="163"/>
      <c r="C83" s="53">
        <f>SUM(C76:C82)</f>
        <v>740.44</v>
      </c>
      <c r="D83" s="60"/>
    </row>
    <row r="84" spans="1:5" x14ac:dyDescent="0.25">
      <c r="A84" s="2" t="s">
        <v>111</v>
      </c>
      <c r="B84" s="40"/>
      <c r="C84" s="41"/>
    </row>
    <row r="85" spans="1:5" x14ac:dyDescent="0.25">
      <c r="A85" s="2" t="s">
        <v>112</v>
      </c>
    </row>
    <row r="86" spans="1:5" x14ac:dyDescent="0.25">
      <c r="A86" s="2" t="s">
        <v>163</v>
      </c>
    </row>
    <row r="88" spans="1:5" x14ac:dyDescent="0.25">
      <c r="A88" s="161" t="s">
        <v>49</v>
      </c>
      <c r="B88" s="161"/>
      <c r="C88" s="161"/>
    </row>
    <row r="89" spans="1:5" ht="16.5" thickBot="1" x14ac:dyDescent="0.3"/>
    <row r="90" spans="1:5" ht="16.5" thickBot="1" x14ac:dyDescent="0.3">
      <c r="A90" s="3">
        <v>2</v>
      </c>
      <c r="B90" s="70" t="s">
        <v>50</v>
      </c>
      <c r="C90" s="70" t="s">
        <v>5</v>
      </c>
    </row>
    <row r="91" spans="1:5" ht="16.5" thickBot="1" x14ac:dyDescent="0.3">
      <c r="A91" s="4" t="s">
        <v>21</v>
      </c>
      <c r="B91" s="5" t="s">
        <v>22</v>
      </c>
      <c r="C91" s="53">
        <f>C52</f>
        <v>566.35</v>
      </c>
    </row>
    <row r="92" spans="1:5" ht="16.5" thickBot="1" x14ac:dyDescent="0.3">
      <c r="A92" s="4" t="s">
        <v>27</v>
      </c>
      <c r="B92" s="5" t="s">
        <v>28</v>
      </c>
      <c r="C92" s="53">
        <f>D68</f>
        <v>1280.28</v>
      </c>
    </row>
    <row r="93" spans="1:5" ht="16.5" thickBot="1" x14ac:dyDescent="0.3">
      <c r="A93" s="4" t="s">
        <v>42</v>
      </c>
      <c r="B93" s="5" t="s">
        <v>43</v>
      </c>
      <c r="C93" s="53">
        <f>C83</f>
        <v>740.44</v>
      </c>
    </row>
    <row r="94" spans="1:5" ht="16.5" thickBot="1" x14ac:dyDescent="0.3">
      <c r="A94" s="162" t="s">
        <v>18</v>
      </c>
      <c r="B94" s="163"/>
      <c r="C94" s="53">
        <f>SUM(C91:C93)</f>
        <v>2587.0700000000002</v>
      </c>
    </row>
    <row r="95" spans="1:5" x14ac:dyDescent="0.25">
      <c r="A95" s="12"/>
      <c r="E95" s="54"/>
    </row>
    <row r="96" spans="1:5" x14ac:dyDescent="0.25">
      <c r="E96" s="54"/>
    </row>
    <row r="97" spans="1:7" x14ac:dyDescent="0.25">
      <c r="A97" s="160" t="s">
        <v>51</v>
      </c>
      <c r="B97" s="160"/>
      <c r="C97" s="160"/>
      <c r="D97" s="59"/>
    </row>
    <row r="98" spans="1:7" ht="16.5" thickBot="1" x14ac:dyDescent="0.3">
      <c r="D98" s="60"/>
    </row>
    <row r="99" spans="1:7" ht="16.5" thickBot="1" x14ac:dyDescent="0.3">
      <c r="A99" s="3">
        <v>3</v>
      </c>
      <c r="B99" s="70" t="s">
        <v>52</v>
      </c>
      <c r="C99" s="70" t="s">
        <v>5</v>
      </c>
      <c r="F99" s="54"/>
    </row>
    <row r="100" spans="1:7" ht="16.5" thickBot="1" x14ac:dyDescent="0.3">
      <c r="A100" s="4" t="s">
        <v>6</v>
      </c>
      <c r="B100" s="13" t="s">
        <v>53</v>
      </c>
      <c r="C100" s="55">
        <f>((((C41+C41/12+C41/12+1/3*C41/12))+C93-C81)/12)*50/100</f>
        <v>175.81</v>
      </c>
      <c r="D100" s="60"/>
      <c r="F100" s="54"/>
    </row>
    <row r="101" spans="1:7" ht="16.5" thickBot="1" x14ac:dyDescent="0.3">
      <c r="A101" s="4" t="s">
        <v>8</v>
      </c>
      <c r="B101" s="13" t="s">
        <v>54</v>
      </c>
      <c r="C101" s="55">
        <f>((C41+C41/12+C41/12+1/3*C41/12)*0.08/12)*50/100</f>
        <v>11.6</v>
      </c>
      <c r="D101" s="54"/>
      <c r="F101" s="54"/>
    </row>
    <row r="102" spans="1:7" ht="16.5" thickBot="1" x14ac:dyDescent="0.3">
      <c r="A102" s="4" t="s">
        <v>10</v>
      </c>
      <c r="B102" s="13" t="s">
        <v>148</v>
      </c>
      <c r="C102" s="62">
        <f>D67*40/100*50/100</f>
        <v>55.66</v>
      </c>
      <c r="D102" s="54"/>
      <c r="E102" s="54"/>
    </row>
    <row r="103" spans="1:7" ht="16.5" thickBot="1" x14ac:dyDescent="0.3">
      <c r="A103" s="4" t="s">
        <v>12</v>
      </c>
      <c r="B103" s="13" t="s">
        <v>55</v>
      </c>
      <c r="C103" s="55">
        <f>7/30/12*(C41+C94-C81)*50/100</f>
        <v>53.47</v>
      </c>
      <c r="D103" s="61"/>
    </row>
    <row r="104" spans="1:7" ht="16.5" thickBot="1" x14ac:dyDescent="0.3">
      <c r="A104" s="4" t="s">
        <v>14</v>
      </c>
      <c r="B104" s="13" t="s">
        <v>56</v>
      </c>
      <c r="C104" s="55">
        <f>C103*C68*50/100</f>
        <v>9.84</v>
      </c>
    </row>
    <row r="105" spans="1:7" ht="16.5" thickBot="1" x14ac:dyDescent="0.3">
      <c r="A105" s="4" t="s">
        <v>35</v>
      </c>
      <c r="B105" s="13" t="s">
        <v>149</v>
      </c>
      <c r="C105" s="62">
        <f>D67*40/100*50/100</f>
        <v>55.66</v>
      </c>
    </row>
    <row r="106" spans="1:7" ht="16.5" thickBot="1" x14ac:dyDescent="0.3">
      <c r="A106" s="162" t="s">
        <v>18</v>
      </c>
      <c r="B106" s="163"/>
      <c r="C106" s="55">
        <f>SUM(C100:C105)</f>
        <v>362.04</v>
      </c>
      <c r="G106" s="49"/>
    </row>
    <row r="109" spans="1:7" x14ac:dyDescent="0.25">
      <c r="A109" s="160" t="s">
        <v>57</v>
      </c>
      <c r="B109" s="160"/>
      <c r="C109" s="160"/>
    </row>
    <row r="110" spans="1:7" x14ac:dyDescent="0.25">
      <c r="A110" s="2" t="s">
        <v>113</v>
      </c>
    </row>
    <row r="112" spans="1:7" x14ac:dyDescent="0.25">
      <c r="A112" s="161" t="s">
        <v>114</v>
      </c>
      <c r="B112" s="161"/>
      <c r="C112" s="161"/>
    </row>
    <row r="113" spans="1:7" ht="16.5" thickBot="1" x14ac:dyDescent="0.3">
      <c r="A113" s="8"/>
    </row>
    <row r="114" spans="1:7" ht="16.5" thickBot="1" x14ac:dyDescent="0.3">
      <c r="A114" s="3" t="s">
        <v>58</v>
      </c>
      <c r="B114" s="70" t="s">
        <v>59</v>
      </c>
      <c r="C114" s="70" t="s">
        <v>5</v>
      </c>
    </row>
    <row r="115" spans="1:7" ht="16.5" thickBot="1" x14ac:dyDescent="0.3">
      <c r="A115" s="4" t="s">
        <v>6</v>
      </c>
      <c r="B115" s="5" t="s">
        <v>115</v>
      </c>
      <c r="C115" s="62">
        <f>(C41+C94-C81+C106)/30*30/12</f>
        <v>488.48</v>
      </c>
      <c r="D115" s="54"/>
      <c r="E115" s="54"/>
      <c r="F115" s="54"/>
      <c r="G115" s="54"/>
    </row>
    <row r="116" spans="1:7" ht="16.5" thickBot="1" x14ac:dyDescent="0.3">
      <c r="A116" s="4" t="s">
        <v>8</v>
      </c>
      <c r="B116" s="5" t="s">
        <v>116</v>
      </c>
      <c r="C116" s="62">
        <f>(C41+C94-C81+C106)/30/12</f>
        <v>16.28</v>
      </c>
    </row>
    <row r="117" spans="1:7" ht="16.5" thickBot="1" x14ac:dyDescent="0.3">
      <c r="A117" s="4" t="s">
        <v>10</v>
      </c>
      <c r="B117" s="5" t="s">
        <v>117</v>
      </c>
      <c r="C117" s="62">
        <f>(C41+C94-C81+C106)/30/12</f>
        <v>16.28</v>
      </c>
    </row>
    <row r="118" spans="1:7" ht="16.5" thickBot="1" x14ac:dyDescent="0.3">
      <c r="A118" s="4" t="s">
        <v>12</v>
      </c>
      <c r="B118" s="5" t="s">
        <v>118</v>
      </c>
      <c r="C118" s="62">
        <f>(C41+C94-C81+C106)/30/12</f>
        <v>16.28</v>
      </c>
    </row>
    <row r="119" spans="1:7" ht="16.5" thickBot="1" x14ac:dyDescent="0.3">
      <c r="A119" s="4" t="s">
        <v>14</v>
      </c>
      <c r="B119" s="5" t="s">
        <v>119</v>
      </c>
      <c r="C119" s="62">
        <f>(C41+C94-C81+C106)/30/12</f>
        <v>16.28</v>
      </c>
    </row>
    <row r="120" spans="1:7" ht="17.25" customHeight="1" thickBot="1" x14ac:dyDescent="0.3">
      <c r="A120" s="4" t="s">
        <v>35</v>
      </c>
      <c r="B120" s="5" t="s">
        <v>156</v>
      </c>
      <c r="C120" s="62">
        <f>(C41+C94-C81+C106)/30/12</f>
        <v>16.28</v>
      </c>
    </row>
    <row r="121" spans="1:7" ht="16.5" thickBot="1" x14ac:dyDescent="0.3">
      <c r="A121" s="162" t="s">
        <v>40</v>
      </c>
      <c r="B121" s="163"/>
      <c r="C121" s="53">
        <f>SUM(C115:C120)</f>
        <v>569.88</v>
      </c>
    </row>
    <row r="124" spans="1:7" x14ac:dyDescent="0.25">
      <c r="A124" s="161" t="s">
        <v>120</v>
      </c>
      <c r="B124" s="161"/>
      <c r="C124" s="161"/>
    </row>
    <row r="125" spans="1:7" ht="16.5" thickBot="1" x14ac:dyDescent="0.3">
      <c r="A125" s="8"/>
    </row>
    <row r="126" spans="1:7" ht="16.5" thickBot="1" x14ac:dyDescent="0.3">
      <c r="A126" s="3" t="s">
        <v>60</v>
      </c>
      <c r="B126" s="70" t="s">
        <v>61</v>
      </c>
      <c r="C126" s="70" t="s">
        <v>5</v>
      </c>
    </row>
    <row r="127" spans="1:7" ht="16.5" thickBot="1" x14ac:dyDescent="0.3">
      <c r="A127" s="4" t="s">
        <v>6</v>
      </c>
      <c r="B127" s="5" t="s">
        <v>121</v>
      </c>
      <c r="C127" s="58">
        <v>0</v>
      </c>
    </row>
    <row r="128" spans="1:7" ht="16.5" thickBot="1" x14ac:dyDescent="0.3">
      <c r="A128" s="162" t="s">
        <v>18</v>
      </c>
      <c r="B128" s="163"/>
      <c r="C128" s="7"/>
    </row>
    <row r="131" spans="1:3" x14ac:dyDescent="0.25">
      <c r="A131" s="161" t="s">
        <v>62</v>
      </c>
      <c r="B131" s="161"/>
      <c r="C131" s="161"/>
    </row>
    <row r="132" spans="1:3" ht="16.5" thickBot="1" x14ac:dyDescent="0.3">
      <c r="A132" s="8"/>
    </row>
    <row r="133" spans="1:3" ht="16.5" thickBot="1" x14ac:dyDescent="0.3">
      <c r="A133" s="3">
        <v>4</v>
      </c>
      <c r="B133" s="70" t="s">
        <v>63</v>
      </c>
      <c r="C133" s="70" t="s">
        <v>5</v>
      </c>
    </row>
    <row r="134" spans="1:3" ht="16.5" thickBot="1" x14ac:dyDescent="0.3">
      <c r="A134" s="4" t="s">
        <v>58</v>
      </c>
      <c r="B134" s="5" t="s">
        <v>122</v>
      </c>
      <c r="C134" s="53">
        <f>C121</f>
        <v>569.88</v>
      </c>
    </row>
    <row r="135" spans="1:3" ht="16.5" thickBot="1" x14ac:dyDescent="0.3">
      <c r="A135" s="4" t="s">
        <v>60</v>
      </c>
      <c r="B135" s="5" t="s">
        <v>123</v>
      </c>
      <c r="C135" s="55">
        <f>C127</f>
        <v>0</v>
      </c>
    </row>
    <row r="136" spans="1:3" ht="16.5" thickBot="1" x14ac:dyDescent="0.3">
      <c r="A136" s="162" t="s">
        <v>18</v>
      </c>
      <c r="B136" s="163"/>
      <c r="C136" s="53">
        <f>SUM(C134:C135)</f>
        <v>569.88</v>
      </c>
    </row>
    <row r="139" spans="1:3" x14ac:dyDescent="0.25">
      <c r="A139" s="160" t="s">
        <v>64</v>
      </c>
      <c r="B139" s="160"/>
      <c r="C139" s="160"/>
    </row>
    <row r="140" spans="1:3" ht="16.5" thickBot="1" x14ac:dyDescent="0.3"/>
    <row r="141" spans="1:3" ht="16.5" thickBot="1" x14ac:dyDescent="0.3">
      <c r="A141" s="3">
        <v>5</v>
      </c>
      <c r="B141" s="14" t="s">
        <v>65</v>
      </c>
      <c r="C141" s="70" t="s">
        <v>5</v>
      </c>
    </row>
    <row r="142" spans="1:3" ht="16.5" thickBot="1" x14ac:dyDescent="0.3">
      <c r="A142" s="4" t="s">
        <v>6</v>
      </c>
      <c r="B142" s="5" t="s">
        <v>66</v>
      </c>
      <c r="C142" s="53">
        <v>25.27</v>
      </c>
    </row>
    <row r="143" spans="1:3" ht="16.5" thickBot="1" x14ac:dyDescent="0.3">
      <c r="A143" s="4" t="s">
        <v>8</v>
      </c>
      <c r="B143" s="5" t="s">
        <v>67</v>
      </c>
      <c r="C143" s="53"/>
    </row>
    <row r="144" spans="1:3" ht="16.5" thickBot="1" x14ac:dyDescent="0.3">
      <c r="A144" s="4" t="s">
        <v>10</v>
      </c>
      <c r="B144" s="5" t="s">
        <v>145</v>
      </c>
      <c r="C144" s="53"/>
    </row>
    <row r="145" spans="1:7" ht="16.5" thickBot="1" x14ac:dyDescent="0.3">
      <c r="A145" s="4" t="s">
        <v>12</v>
      </c>
      <c r="B145" s="5" t="s">
        <v>17</v>
      </c>
      <c r="C145" s="53"/>
    </row>
    <row r="146" spans="1:7" ht="16.5" thickBot="1" x14ac:dyDescent="0.3">
      <c r="A146" s="162" t="s">
        <v>40</v>
      </c>
      <c r="B146" s="163"/>
      <c r="C146" s="53">
        <f>SUM(C142:C145)</f>
        <v>25.27</v>
      </c>
    </row>
    <row r="147" spans="1:7" x14ac:dyDescent="0.25">
      <c r="A147" s="2" t="s">
        <v>124</v>
      </c>
    </row>
    <row r="149" spans="1:7" x14ac:dyDescent="0.25">
      <c r="A149" s="160" t="s">
        <v>68</v>
      </c>
      <c r="B149" s="160"/>
      <c r="C149" s="160"/>
    </row>
    <row r="150" spans="1:7" ht="16.5" thickBot="1" x14ac:dyDescent="0.3"/>
    <row r="151" spans="1:7" ht="16.5" thickBot="1" x14ac:dyDescent="0.3">
      <c r="A151" s="3">
        <v>6</v>
      </c>
      <c r="B151" s="14" t="s">
        <v>69</v>
      </c>
      <c r="C151" s="70" t="s">
        <v>29</v>
      </c>
      <c r="D151" s="70" t="s">
        <v>5</v>
      </c>
    </row>
    <row r="152" spans="1:7" ht="16.5" thickBot="1" x14ac:dyDescent="0.3">
      <c r="A152" s="4" t="s">
        <v>6</v>
      </c>
      <c r="B152" s="5" t="s">
        <v>70</v>
      </c>
      <c r="C152" s="9">
        <v>0.06</v>
      </c>
      <c r="D152" s="69">
        <f>C170*C152</f>
        <v>387.42</v>
      </c>
    </row>
    <row r="153" spans="1:7" ht="16.5" thickBot="1" x14ac:dyDescent="0.3">
      <c r="A153" s="4" t="s">
        <v>8</v>
      </c>
      <c r="B153" s="5" t="s">
        <v>71</v>
      </c>
      <c r="C153" s="9">
        <v>6.7900000000000002E-2</v>
      </c>
      <c r="D153" s="69">
        <f>($C$170+$D$152)/(1-$C$153-$C$155-$C$157)*C153</f>
        <v>549.59</v>
      </c>
    </row>
    <row r="154" spans="1:7" ht="16.5" thickBot="1" x14ac:dyDescent="0.3">
      <c r="A154" s="4" t="s">
        <v>10</v>
      </c>
      <c r="B154" s="5" t="s">
        <v>72</v>
      </c>
      <c r="C154" s="9"/>
      <c r="D154" s="53"/>
    </row>
    <row r="155" spans="1:7" ht="16.5" thickBot="1" x14ac:dyDescent="0.3">
      <c r="A155" s="4"/>
      <c r="B155" s="5" t="s">
        <v>146</v>
      </c>
      <c r="C155" s="66">
        <v>3.6499999999999998E-2</v>
      </c>
      <c r="D155" s="69">
        <f>($C$170+$D$152)/(1-$C$153-$C$155-$C$157)*C155</f>
        <v>295.43</v>
      </c>
      <c r="E155" s="54"/>
      <c r="F155" s="54"/>
      <c r="G155" s="54"/>
    </row>
    <row r="156" spans="1:7" ht="16.5" thickBot="1" x14ac:dyDescent="0.3">
      <c r="A156" s="4"/>
      <c r="B156" s="5" t="s">
        <v>73</v>
      </c>
      <c r="C156" s="6"/>
      <c r="D156" s="53"/>
      <c r="E156" s="54"/>
      <c r="F156" s="54"/>
    </row>
    <row r="157" spans="1:7" ht="16.5" thickBot="1" x14ac:dyDescent="0.3">
      <c r="A157" s="4"/>
      <c r="B157" s="5" t="s">
        <v>74</v>
      </c>
      <c r="C157" s="9">
        <v>0.05</v>
      </c>
      <c r="D157" s="69">
        <f>($C$170+$D$152)/(1-$C$153-$C$155-$C$157)*C157</f>
        <v>404.7</v>
      </c>
    </row>
    <row r="158" spans="1:7" ht="16.5" thickBot="1" x14ac:dyDescent="0.3">
      <c r="A158" s="162" t="s">
        <v>40</v>
      </c>
      <c r="B158" s="163"/>
      <c r="C158" s="9">
        <f>C152+C153+C155+C157</f>
        <v>0.21440000000000001</v>
      </c>
      <c r="D158" s="55">
        <f>SUM(D152:D157)</f>
        <v>1637.14</v>
      </c>
    </row>
    <row r="159" spans="1:7" x14ac:dyDescent="0.25">
      <c r="A159" s="2" t="s">
        <v>125</v>
      </c>
      <c r="B159" s="40"/>
      <c r="C159" s="43"/>
      <c r="D159" s="47"/>
    </row>
    <row r="160" spans="1:7" x14ac:dyDescent="0.25">
      <c r="A160" s="2" t="s">
        <v>126</v>
      </c>
    </row>
    <row r="162" spans="1:6" x14ac:dyDescent="0.25">
      <c r="A162" s="160" t="s">
        <v>75</v>
      </c>
      <c r="B162" s="160"/>
      <c r="C162" s="160"/>
    </row>
    <row r="163" spans="1:6" ht="16.5" thickBot="1" x14ac:dyDescent="0.3"/>
    <row r="164" spans="1:6" ht="16.5" thickBot="1" x14ac:dyDescent="0.3">
      <c r="A164" s="3"/>
      <c r="B164" s="70" t="s">
        <v>76</v>
      </c>
      <c r="C164" s="70" t="s">
        <v>5</v>
      </c>
    </row>
    <row r="165" spans="1:6" ht="16.5" thickBot="1" x14ac:dyDescent="0.3">
      <c r="A165" s="68" t="s">
        <v>6</v>
      </c>
      <c r="B165" s="5" t="s">
        <v>3</v>
      </c>
      <c r="C165" s="63">
        <f>C41</f>
        <v>2912.67</v>
      </c>
    </row>
    <row r="166" spans="1:6" ht="16.5" thickBot="1" x14ac:dyDescent="0.3">
      <c r="A166" s="68" t="s">
        <v>8</v>
      </c>
      <c r="B166" s="5" t="s">
        <v>19</v>
      </c>
      <c r="C166" s="63">
        <f>C94</f>
        <v>2587.0700000000002</v>
      </c>
    </row>
    <row r="167" spans="1:6" ht="16.5" thickBot="1" x14ac:dyDescent="0.3">
      <c r="A167" s="68" t="s">
        <v>10</v>
      </c>
      <c r="B167" s="5" t="s">
        <v>51</v>
      </c>
      <c r="C167" s="64">
        <f>C106</f>
        <v>362.04</v>
      </c>
    </row>
    <row r="168" spans="1:6" ht="16.5" thickBot="1" x14ac:dyDescent="0.3">
      <c r="A168" s="68" t="s">
        <v>12</v>
      </c>
      <c r="B168" s="5" t="s">
        <v>57</v>
      </c>
      <c r="C168" s="63">
        <f>C136</f>
        <v>569.88</v>
      </c>
    </row>
    <row r="169" spans="1:6" ht="16.5" thickBot="1" x14ac:dyDescent="0.3">
      <c r="A169" s="68" t="s">
        <v>14</v>
      </c>
      <c r="B169" s="5" t="s">
        <v>64</v>
      </c>
      <c r="C169" s="63">
        <f>C146</f>
        <v>25.27</v>
      </c>
    </row>
    <row r="170" spans="1:6" ht="16.5" thickBot="1" x14ac:dyDescent="0.3">
      <c r="A170" s="162" t="s">
        <v>77</v>
      </c>
      <c r="B170" s="163"/>
      <c r="C170" s="63">
        <f>SUM(C165:C169)</f>
        <v>6456.93</v>
      </c>
    </row>
    <row r="171" spans="1:6" ht="16.5" thickBot="1" x14ac:dyDescent="0.3">
      <c r="A171" s="68" t="s">
        <v>35</v>
      </c>
      <c r="B171" s="5" t="s">
        <v>78</v>
      </c>
      <c r="C171" s="64">
        <f>D158</f>
        <v>1637.14</v>
      </c>
    </row>
    <row r="172" spans="1:6" ht="16.5" thickBot="1" x14ac:dyDescent="0.3">
      <c r="A172" s="162" t="s">
        <v>79</v>
      </c>
      <c r="B172" s="163"/>
      <c r="C172" s="65">
        <f>C171+C170</f>
        <v>8094.07</v>
      </c>
      <c r="D172" s="49"/>
      <c r="E172" s="49"/>
      <c r="F172" s="49"/>
    </row>
    <row r="173" spans="1:6" x14ac:dyDescent="0.25">
      <c r="D173" s="48"/>
      <c r="E173" s="48"/>
      <c r="F173" s="48"/>
    </row>
    <row r="175" spans="1:6" x14ac:dyDescent="0.25">
      <c r="A175" s="160" t="s">
        <v>127</v>
      </c>
      <c r="B175" s="160"/>
      <c r="C175" s="160"/>
    </row>
    <row r="176" spans="1:6" ht="16.5" thickBot="1" x14ac:dyDescent="0.3"/>
    <row r="177" spans="1:7" ht="63.75" thickBot="1" x14ac:dyDescent="0.3">
      <c r="A177" s="162" t="s">
        <v>128</v>
      </c>
      <c r="B177" s="163"/>
      <c r="C177" s="70" t="s">
        <v>130</v>
      </c>
      <c r="D177" s="70" t="s">
        <v>131</v>
      </c>
      <c r="E177" s="70" t="s">
        <v>132</v>
      </c>
      <c r="F177" s="70" t="s">
        <v>133</v>
      </c>
      <c r="G177" s="70" t="s">
        <v>134</v>
      </c>
    </row>
    <row r="178" spans="1:7" ht="16.5" thickBot="1" x14ac:dyDescent="0.3">
      <c r="A178" s="68" t="s">
        <v>129</v>
      </c>
      <c r="B178" s="5" t="str">
        <f>C25</f>
        <v>Motorista - CNH "d"</v>
      </c>
      <c r="C178" s="63">
        <f>C172</f>
        <v>8094.07</v>
      </c>
      <c r="D178" s="15">
        <v>1</v>
      </c>
      <c r="E178" s="63">
        <f>D178*C178</f>
        <v>8094.07</v>
      </c>
      <c r="F178" s="15">
        <v>1</v>
      </c>
      <c r="G178" s="63">
        <f>F178*E178</f>
        <v>8094.07</v>
      </c>
    </row>
    <row r="179" spans="1:7" ht="16.5" thickBot="1" x14ac:dyDescent="0.3">
      <c r="A179" s="68"/>
      <c r="B179" s="5"/>
      <c r="C179" s="15"/>
      <c r="D179" s="15"/>
      <c r="E179" s="15"/>
      <c r="F179" s="15"/>
      <c r="G179" s="15"/>
    </row>
    <row r="181" spans="1:7" x14ac:dyDescent="0.25">
      <c r="A181" s="160" t="s">
        <v>135</v>
      </c>
      <c r="B181" s="160"/>
      <c r="C181" s="160"/>
    </row>
    <row r="182" spans="1:7" ht="16.5" thickBot="1" x14ac:dyDescent="0.3"/>
    <row r="183" spans="1:7" ht="16.5" thickBot="1" x14ac:dyDescent="0.3">
      <c r="A183" s="3"/>
      <c r="B183" s="70" t="s">
        <v>136</v>
      </c>
      <c r="C183" s="70" t="s">
        <v>5</v>
      </c>
    </row>
    <row r="184" spans="1:7" ht="16.5" thickBot="1" x14ac:dyDescent="0.3">
      <c r="A184" s="68" t="s">
        <v>6</v>
      </c>
      <c r="B184" s="5" t="s">
        <v>137</v>
      </c>
      <c r="C184" s="63">
        <f>E178</f>
        <v>8094.07</v>
      </c>
    </row>
    <row r="185" spans="1:7" ht="16.5" thickBot="1" x14ac:dyDescent="0.3">
      <c r="A185" s="68" t="s">
        <v>8</v>
      </c>
      <c r="B185" s="5" t="s">
        <v>138</v>
      </c>
      <c r="C185" s="63">
        <f>G178</f>
        <v>8094.07</v>
      </c>
    </row>
    <row r="186" spans="1:7" ht="32.25" thickBot="1" x14ac:dyDescent="0.3">
      <c r="A186" s="68" t="s">
        <v>10</v>
      </c>
      <c r="B186" s="5" t="s">
        <v>139</v>
      </c>
      <c r="C186" s="64">
        <f>C185*12</f>
        <v>97128.84</v>
      </c>
    </row>
    <row r="187" spans="1:7" x14ac:dyDescent="0.25">
      <c r="A187" s="2" t="s">
        <v>140</v>
      </c>
    </row>
  </sheetData>
  <mergeCells count="30">
    <mergeCell ref="A181:C181"/>
    <mergeCell ref="A131:C131"/>
    <mergeCell ref="A136:B136"/>
    <mergeCell ref="A139:C139"/>
    <mergeCell ref="A146:B146"/>
    <mergeCell ref="A149:C149"/>
    <mergeCell ref="A158:B158"/>
    <mergeCell ref="A162:C162"/>
    <mergeCell ref="A170:B170"/>
    <mergeCell ref="A172:B172"/>
    <mergeCell ref="A175:C175"/>
    <mergeCell ref="A177:B177"/>
    <mergeCell ref="A128:B128"/>
    <mergeCell ref="A68:B68"/>
    <mergeCell ref="A73:C73"/>
    <mergeCell ref="A83:B83"/>
    <mergeCell ref="A88:C88"/>
    <mergeCell ref="A94:B94"/>
    <mergeCell ref="A97:C97"/>
    <mergeCell ref="A106:B106"/>
    <mergeCell ref="A109:C109"/>
    <mergeCell ref="A112:C112"/>
    <mergeCell ref="A121:B121"/>
    <mergeCell ref="A124:C124"/>
    <mergeCell ref="A57:D57"/>
    <mergeCell ref="A31:C31"/>
    <mergeCell ref="A41:B41"/>
    <mergeCell ref="A44:C44"/>
    <mergeCell ref="A46:C46"/>
    <mergeCell ref="A52:B52"/>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1B9EC-86EE-465E-A4D7-C49BD9B5AD03}">
  <dimension ref="A1:G187"/>
  <sheetViews>
    <sheetView topLeftCell="A73" workbookViewId="0">
      <selection activeCell="C142" sqref="C142"/>
    </sheetView>
  </sheetViews>
  <sheetFormatPr defaultRowHeight="15.75" x14ac:dyDescent="0.25"/>
  <cols>
    <col min="1" max="1" width="14.42578125" style="2" customWidth="1"/>
    <col min="2" max="2" width="72.140625" style="2" customWidth="1"/>
    <col min="3" max="3" width="28.140625" style="2" customWidth="1"/>
    <col min="4" max="4" width="14.28515625" style="2" customWidth="1"/>
    <col min="5" max="6" width="14.5703125" style="2" bestFit="1" customWidth="1"/>
    <col min="7" max="7" width="15.140625" style="2" customWidth="1"/>
    <col min="8" max="16384" width="9.140625" style="2"/>
  </cols>
  <sheetData>
    <row r="1" spans="1:4" ht="23.25" x14ac:dyDescent="0.35">
      <c r="A1" s="1" t="s">
        <v>0</v>
      </c>
      <c r="B1" s="1"/>
      <c r="C1" s="1"/>
      <c r="D1" s="1"/>
    </row>
    <row r="2" spans="1:4" ht="23.25" x14ac:dyDescent="0.35">
      <c r="A2" s="1" t="s">
        <v>1</v>
      </c>
      <c r="B2" s="1"/>
      <c r="C2" s="1"/>
      <c r="D2" s="1"/>
    </row>
    <row r="3" spans="1:4" ht="23.25" x14ac:dyDescent="0.35">
      <c r="A3" s="57" t="s">
        <v>144</v>
      </c>
      <c r="B3" s="56"/>
      <c r="C3" s="56"/>
      <c r="D3" s="56"/>
    </row>
    <row r="4" spans="1:4" x14ac:dyDescent="0.25">
      <c r="A4" s="18" t="s">
        <v>2</v>
      </c>
      <c r="B4" s="18"/>
      <c r="C4" s="22" t="s">
        <v>141</v>
      </c>
      <c r="D4" s="16"/>
    </row>
    <row r="5" spans="1:4" x14ac:dyDescent="0.25">
      <c r="A5" s="19" t="s">
        <v>87</v>
      </c>
      <c r="B5" s="20"/>
      <c r="C5" s="23" t="s">
        <v>161</v>
      </c>
      <c r="D5" s="17"/>
    </row>
    <row r="6" spans="1:4" x14ac:dyDescent="0.25">
      <c r="A6" s="19" t="s">
        <v>88</v>
      </c>
      <c r="B6" s="20"/>
      <c r="C6" s="23" t="s">
        <v>162</v>
      </c>
      <c r="D6" s="17"/>
    </row>
    <row r="7" spans="1:4" x14ac:dyDescent="0.25">
      <c r="A7" s="19"/>
      <c r="B7" s="20"/>
      <c r="C7" s="26"/>
      <c r="D7" s="17"/>
    </row>
    <row r="8" spans="1:4" x14ac:dyDescent="0.25">
      <c r="A8" s="20"/>
      <c r="B8" s="21" t="s">
        <v>80</v>
      </c>
      <c r="C8" s="28"/>
      <c r="D8" s="17"/>
    </row>
    <row r="9" spans="1:4" x14ac:dyDescent="0.25">
      <c r="A9" s="20" t="s">
        <v>6</v>
      </c>
      <c r="B9" s="19" t="s">
        <v>81</v>
      </c>
      <c r="C9" s="25"/>
      <c r="D9" s="17"/>
    </row>
    <row r="10" spans="1:4" x14ac:dyDescent="0.25">
      <c r="A10" s="20" t="s">
        <v>8</v>
      </c>
      <c r="B10" s="19" t="s">
        <v>82</v>
      </c>
      <c r="C10" s="25"/>
      <c r="D10" s="17"/>
    </row>
    <row r="11" spans="1:4" x14ac:dyDescent="0.25">
      <c r="A11" s="20" t="s">
        <v>10</v>
      </c>
      <c r="B11" s="19" t="s">
        <v>83</v>
      </c>
      <c r="C11" s="25">
        <v>2021</v>
      </c>
      <c r="D11" s="17"/>
    </row>
    <row r="12" spans="1:4" x14ac:dyDescent="0.25">
      <c r="A12" s="20" t="s">
        <v>12</v>
      </c>
      <c r="B12" s="19" t="s">
        <v>142</v>
      </c>
      <c r="C12" s="50" t="s">
        <v>155</v>
      </c>
      <c r="D12" s="17"/>
    </row>
    <row r="13" spans="1:4" x14ac:dyDescent="0.25">
      <c r="A13" s="20" t="s">
        <v>14</v>
      </c>
      <c r="B13" s="19" t="s">
        <v>89</v>
      </c>
      <c r="C13" s="29" t="s">
        <v>90</v>
      </c>
      <c r="D13" s="17"/>
    </row>
    <row r="14" spans="1:4" x14ac:dyDescent="0.25">
      <c r="A14" s="20"/>
      <c r="B14" s="19"/>
      <c r="C14" s="30"/>
      <c r="D14" s="17"/>
    </row>
    <row r="15" spans="1:4" x14ac:dyDescent="0.25">
      <c r="A15" s="20"/>
      <c r="B15" s="21" t="s">
        <v>91</v>
      </c>
      <c r="C15" s="20"/>
      <c r="D15" s="17"/>
    </row>
    <row r="16" spans="1:4" x14ac:dyDescent="0.25">
      <c r="A16" s="20" t="s">
        <v>6</v>
      </c>
      <c r="B16" s="19" t="s">
        <v>84</v>
      </c>
      <c r="C16" s="27" t="s">
        <v>93</v>
      </c>
      <c r="D16" s="17"/>
    </row>
    <row r="17" spans="1:4" x14ac:dyDescent="0.25">
      <c r="A17" s="20" t="s">
        <v>8</v>
      </c>
      <c r="B17" s="19" t="s">
        <v>85</v>
      </c>
      <c r="C17" s="24" t="s">
        <v>86</v>
      </c>
      <c r="D17" s="17"/>
    </row>
    <row r="18" spans="1:4" x14ac:dyDescent="0.25">
      <c r="A18" s="20" t="s">
        <v>10</v>
      </c>
      <c r="B18" s="19" t="s">
        <v>92</v>
      </c>
      <c r="C18" s="29">
        <v>2</v>
      </c>
      <c r="D18" s="17"/>
    </row>
    <row r="19" spans="1:4" x14ac:dyDescent="0.25">
      <c r="A19" s="31" t="s">
        <v>94</v>
      </c>
      <c r="B19" s="31"/>
      <c r="C19" s="17"/>
      <c r="D19" s="17"/>
    </row>
    <row r="20" spans="1:4" x14ac:dyDescent="0.25">
      <c r="A20" s="31"/>
      <c r="B20" s="31"/>
      <c r="C20" s="17"/>
      <c r="D20" s="17"/>
    </row>
    <row r="21" spans="1:4" x14ac:dyDescent="0.25">
      <c r="A21" s="39" t="s">
        <v>95</v>
      </c>
      <c r="B21" s="32"/>
      <c r="C21" s="33"/>
      <c r="D21" s="17"/>
    </row>
    <row r="22" spans="1:4" x14ac:dyDescent="0.25">
      <c r="A22" s="34" t="s">
        <v>97</v>
      </c>
      <c r="B22" s="31"/>
      <c r="C22" s="35"/>
      <c r="D22" s="17"/>
    </row>
    <row r="23" spans="1:4" x14ac:dyDescent="0.25">
      <c r="A23" s="36" t="s">
        <v>98</v>
      </c>
      <c r="B23" s="37"/>
      <c r="C23" s="38"/>
      <c r="D23" s="17"/>
    </row>
    <row r="24" spans="1:4" x14ac:dyDescent="0.25">
      <c r="A24" s="19"/>
      <c r="B24" s="21" t="s">
        <v>99</v>
      </c>
      <c r="C24" s="20"/>
      <c r="D24" s="17"/>
    </row>
    <row r="25" spans="1:4" x14ac:dyDescent="0.25">
      <c r="A25" s="19">
        <v>1</v>
      </c>
      <c r="B25" s="19" t="s">
        <v>100</v>
      </c>
      <c r="C25" s="27" t="s">
        <v>157</v>
      </c>
      <c r="D25" s="17"/>
    </row>
    <row r="26" spans="1:4" x14ac:dyDescent="0.25">
      <c r="A26" s="19">
        <v>2</v>
      </c>
      <c r="B26" s="19" t="s">
        <v>101</v>
      </c>
      <c r="C26" s="24" t="s">
        <v>158</v>
      </c>
      <c r="D26" s="17"/>
    </row>
    <row r="27" spans="1:4" x14ac:dyDescent="0.25">
      <c r="A27" s="19">
        <v>3</v>
      </c>
      <c r="B27" s="19" t="s">
        <v>96</v>
      </c>
      <c r="C27" s="51">
        <v>1666.65</v>
      </c>
      <c r="D27" s="17"/>
    </row>
    <row r="28" spans="1:4" x14ac:dyDescent="0.25">
      <c r="A28" s="19">
        <v>4</v>
      </c>
      <c r="B28" s="19" t="s">
        <v>102</v>
      </c>
      <c r="C28" s="24" t="s">
        <v>159</v>
      </c>
      <c r="D28" s="17"/>
    </row>
    <row r="29" spans="1:4" x14ac:dyDescent="0.25">
      <c r="A29" s="19">
        <v>5</v>
      </c>
      <c r="B29" s="19" t="s">
        <v>103</v>
      </c>
      <c r="C29" s="29" t="s">
        <v>160</v>
      </c>
      <c r="D29" s="17"/>
    </row>
    <row r="30" spans="1:4" x14ac:dyDescent="0.25">
      <c r="A30" s="31"/>
      <c r="B30" s="31"/>
      <c r="C30" s="17"/>
      <c r="D30" s="17"/>
    </row>
    <row r="31" spans="1:4" x14ac:dyDescent="0.25">
      <c r="A31" s="160" t="s">
        <v>3</v>
      </c>
      <c r="B31" s="160"/>
      <c r="C31" s="160"/>
    </row>
    <row r="32" spans="1:4" ht="16.5" thickBot="1" x14ac:dyDescent="0.3"/>
    <row r="33" spans="1:4" ht="16.5" thickBot="1" x14ac:dyDescent="0.3">
      <c r="A33" s="3">
        <v>1</v>
      </c>
      <c r="B33" s="70" t="s">
        <v>4</v>
      </c>
      <c r="C33" s="70" t="s">
        <v>5</v>
      </c>
    </row>
    <row r="34" spans="1:4" ht="16.5" thickBot="1" x14ac:dyDescent="0.3">
      <c r="A34" s="4" t="s">
        <v>6</v>
      </c>
      <c r="B34" s="5" t="s">
        <v>7</v>
      </c>
      <c r="C34" s="52">
        <v>2912.67</v>
      </c>
    </row>
    <row r="35" spans="1:4" ht="16.5" thickBot="1" x14ac:dyDescent="0.3">
      <c r="A35" s="4" t="s">
        <v>8</v>
      </c>
      <c r="B35" s="5" t="s">
        <v>9</v>
      </c>
      <c r="C35" s="7"/>
    </row>
    <row r="36" spans="1:4" ht="16.5" thickBot="1" x14ac:dyDescent="0.3">
      <c r="A36" s="4" t="s">
        <v>10</v>
      </c>
      <c r="B36" s="5" t="s">
        <v>11</v>
      </c>
      <c r="C36" s="6"/>
    </row>
    <row r="37" spans="1:4" ht="16.5" thickBot="1" x14ac:dyDescent="0.3">
      <c r="A37" s="4" t="s">
        <v>12</v>
      </c>
      <c r="B37" s="5" t="s">
        <v>13</v>
      </c>
      <c r="C37" s="6"/>
    </row>
    <row r="38" spans="1:4" ht="16.5" thickBot="1" x14ac:dyDescent="0.3">
      <c r="A38" s="4" t="s">
        <v>14</v>
      </c>
      <c r="B38" s="5" t="s">
        <v>15</v>
      </c>
      <c r="C38" s="6"/>
    </row>
    <row r="39" spans="1:4" ht="16.5" thickBot="1" x14ac:dyDescent="0.3">
      <c r="A39" s="4"/>
      <c r="B39" s="5"/>
      <c r="C39" s="53"/>
    </row>
    <row r="40" spans="1:4" ht="16.5" thickBot="1" x14ac:dyDescent="0.3">
      <c r="A40" s="4" t="s">
        <v>16</v>
      </c>
      <c r="B40" s="5" t="s">
        <v>17</v>
      </c>
      <c r="C40" s="6"/>
    </row>
    <row r="41" spans="1:4" ht="16.5" thickBot="1" x14ac:dyDescent="0.3">
      <c r="A41" s="162" t="s">
        <v>18</v>
      </c>
      <c r="B41" s="163"/>
      <c r="C41" s="53">
        <f>SUM(C34:C40)</f>
        <v>2912.67</v>
      </c>
      <c r="D41" s="60"/>
    </row>
    <row r="42" spans="1:4" x14ac:dyDescent="0.25">
      <c r="A42" s="2" t="s">
        <v>104</v>
      </c>
    </row>
    <row r="44" spans="1:4" x14ac:dyDescent="0.25">
      <c r="A44" s="160" t="s">
        <v>19</v>
      </c>
      <c r="B44" s="160"/>
      <c r="C44" s="160"/>
    </row>
    <row r="45" spans="1:4" x14ac:dyDescent="0.25">
      <c r="A45" s="8"/>
    </row>
    <row r="46" spans="1:4" x14ac:dyDescent="0.25">
      <c r="A46" s="161" t="s">
        <v>20</v>
      </c>
      <c r="B46" s="161"/>
      <c r="C46" s="161"/>
    </row>
    <row r="47" spans="1:4" ht="16.5" thickBot="1" x14ac:dyDescent="0.3"/>
    <row r="48" spans="1:4" ht="16.5" thickBot="1" x14ac:dyDescent="0.3">
      <c r="A48" s="3" t="s">
        <v>21</v>
      </c>
      <c r="B48" s="70" t="s">
        <v>22</v>
      </c>
      <c r="C48" s="70" t="s">
        <v>5</v>
      </c>
    </row>
    <row r="49" spans="1:4" ht="16.5" thickBot="1" x14ac:dyDescent="0.3">
      <c r="A49" s="4" t="s">
        <v>6</v>
      </c>
      <c r="B49" s="5" t="s">
        <v>23</v>
      </c>
      <c r="C49" s="7">
        <f>C34*1/12</f>
        <v>242.72</v>
      </c>
    </row>
    <row r="50" spans="1:4" ht="16.5" thickBot="1" x14ac:dyDescent="0.3">
      <c r="A50" s="4" t="s">
        <v>8</v>
      </c>
      <c r="B50" s="5" t="s">
        <v>24</v>
      </c>
      <c r="C50" s="7">
        <f>C34*1/12</f>
        <v>242.72</v>
      </c>
    </row>
    <row r="51" spans="1:4" ht="16.5" thickBot="1" x14ac:dyDescent="0.3">
      <c r="A51" s="4" t="s">
        <v>10</v>
      </c>
      <c r="B51" s="5" t="s">
        <v>25</v>
      </c>
      <c r="C51" s="7">
        <f>C34*1/3*1/12</f>
        <v>80.91</v>
      </c>
    </row>
    <row r="52" spans="1:4" ht="16.5" thickBot="1" x14ac:dyDescent="0.3">
      <c r="A52" s="162" t="s">
        <v>18</v>
      </c>
      <c r="B52" s="163"/>
      <c r="C52" s="7">
        <f>SUM(C49:C51)</f>
        <v>566.35</v>
      </c>
      <c r="D52" s="60"/>
    </row>
    <row r="53" spans="1:4" x14ac:dyDescent="0.25">
      <c r="A53" s="2" t="s">
        <v>105</v>
      </c>
      <c r="B53" s="45"/>
      <c r="C53" s="45"/>
    </row>
    <row r="54" spans="1:4" x14ac:dyDescent="0.25">
      <c r="A54" s="2" t="s">
        <v>106</v>
      </c>
      <c r="B54" s="46"/>
      <c r="C54" s="46"/>
    </row>
    <row r="55" spans="1:4" x14ac:dyDescent="0.25">
      <c r="A55" s="2" t="s">
        <v>107</v>
      </c>
      <c r="B55" s="42"/>
      <c r="C55" s="42"/>
    </row>
    <row r="57" spans="1:4" x14ac:dyDescent="0.25">
      <c r="A57" s="165" t="s">
        <v>26</v>
      </c>
      <c r="B57" s="165"/>
      <c r="C57" s="165"/>
      <c r="D57" s="165"/>
    </row>
    <row r="58" spans="1:4" ht="16.5" thickBot="1" x14ac:dyDescent="0.3"/>
    <row r="59" spans="1:4" ht="16.5" thickBot="1" x14ac:dyDescent="0.3">
      <c r="A59" s="3" t="s">
        <v>27</v>
      </c>
      <c r="B59" s="70" t="s">
        <v>28</v>
      </c>
      <c r="C59" s="70" t="s">
        <v>29</v>
      </c>
      <c r="D59" s="70" t="s">
        <v>5</v>
      </c>
    </row>
    <row r="60" spans="1:4" ht="16.5" thickBot="1" x14ac:dyDescent="0.3">
      <c r="A60" s="4" t="s">
        <v>6</v>
      </c>
      <c r="B60" s="5" t="s">
        <v>30</v>
      </c>
      <c r="C60" s="9">
        <v>0.2</v>
      </c>
      <c r="D60" s="53">
        <f>($C$41+$C$52)*C60</f>
        <v>695.8</v>
      </c>
    </row>
    <row r="61" spans="1:4" ht="16.5" thickBot="1" x14ac:dyDescent="0.3">
      <c r="A61" s="4" t="s">
        <v>8</v>
      </c>
      <c r="B61" s="5" t="s">
        <v>31</v>
      </c>
      <c r="C61" s="9">
        <v>2.5000000000000001E-2</v>
      </c>
      <c r="D61" s="53">
        <f t="shared" ref="D61:D67" si="0">($C$41+$C$52)*C61</f>
        <v>86.98</v>
      </c>
    </row>
    <row r="62" spans="1:4" ht="16.5" thickBot="1" x14ac:dyDescent="0.3">
      <c r="A62" s="4" t="s">
        <v>10</v>
      </c>
      <c r="B62" s="5" t="s">
        <v>32</v>
      </c>
      <c r="C62" s="9">
        <v>0.03</v>
      </c>
      <c r="D62" s="53">
        <f t="shared" si="0"/>
        <v>104.37</v>
      </c>
    </row>
    <row r="63" spans="1:4" ht="16.5" thickBot="1" x14ac:dyDescent="0.3">
      <c r="A63" s="4" t="s">
        <v>12</v>
      </c>
      <c r="B63" s="5" t="s">
        <v>33</v>
      </c>
      <c r="C63" s="9">
        <v>1.4999999999999999E-2</v>
      </c>
      <c r="D63" s="53">
        <f t="shared" si="0"/>
        <v>52.19</v>
      </c>
    </row>
    <row r="64" spans="1:4" ht="16.5" thickBot="1" x14ac:dyDescent="0.3">
      <c r="A64" s="4" t="s">
        <v>14</v>
      </c>
      <c r="B64" s="5" t="s">
        <v>34</v>
      </c>
      <c r="C64" s="9">
        <v>0.01</v>
      </c>
      <c r="D64" s="53">
        <f t="shared" si="0"/>
        <v>34.79</v>
      </c>
    </row>
    <row r="65" spans="1:4" ht="16.5" thickBot="1" x14ac:dyDescent="0.3">
      <c r="A65" s="4" t="s">
        <v>35</v>
      </c>
      <c r="B65" s="5" t="s">
        <v>36</v>
      </c>
      <c r="C65" s="9">
        <v>6.0000000000000001E-3</v>
      </c>
      <c r="D65" s="53">
        <f t="shared" si="0"/>
        <v>20.87</v>
      </c>
    </row>
    <row r="66" spans="1:4" ht="16.5" thickBot="1" x14ac:dyDescent="0.3">
      <c r="A66" s="4" t="s">
        <v>16</v>
      </c>
      <c r="B66" s="5" t="s">
        <v>37</v>
      </c>
      <c r="C66" s="9">
        <v>2E-3</v>
      </c>
      <c r="D66" s="53">
        <f t="shared" si="0"/>
        <v>6.96</v>
      </c>
    </row>
    <row r="67" spans="1:4" ht="16.5" thickBot="1" x14ac:dyDescent="0.3">
      <c r="A67" s="4" t="s">
        <v>38</v>
      </c>
      <c r="B67" s="5" t="s">
        <v>39</v>
      </c>
      <c r="C67" s="9">
        <v>0.08</v>
      </c>
      <c r="D67" s="53">
        <f t="shared" si="0"/>
        <v>278.32</v>
      </c>
    </row>
    <row r="68" spans="1:4" ht="16.5" thickBot="1" x14ac:dyDescent="0.3">
      <c r="A68" s="162" t="s">
        <v>40</v>
      </c>
      <c r="B68" s="163"/>
      <c r="C68" s="9">
        <f>SUM(C60:C67)</f>
        <v>0.36799999999999999</v>
      </c>
      <c r="D68" s="53">
        <f>SUM(D60:D67)</f>
        <v>1280.28</v>
      </c>
    </row>
    <row r="69" spans="1:4" x14ac:dyDescent="0.25">
      <c r="A69" s="2" t="s">
        <v>108</v>
      </c>
      <c r="B69" s="40"/>
      <c r="C69" s="44"/>
      <c r="D69" s="41"/>
    </row>
    <row r="70" spans="1:4" x14ac:dyDescent="0.25">
      <c r="A70" s="2" t="s">
        <v>109</v>
      </c>
      <c r="B70" s="40"/>
      <c r="C70" s="44"/>
      <c r="D70" s="41"/>
    </row>
    <row r="71" spans="1:4" x14ac:dyDescent="0.25">
      <c r="A71" s="2" t="s">
        <v>110</v>
      </c>
    </row>
    <row r="73" spans="1:4" x14ac:dyDescent="0.25">
      <c r="A73" s="161" t="s">
        <v>41</v>
      </c>
      <c r="B73" s="161"/>
      <c r="C73" s="161"/>
    </row>
    <row r="74" spans="1:4" ht="16.5" thickBot="1" x14ac:dyDescent="0.3"/>
    <row r="75" spans="1:4" ht="16.5" thickBot="1" x14ac:dyDescent="0.3">
      <c r="A75" s="3" t="s">
        <v>42</v>
      </c>
      <c r="B75" s="70" t="s">
        <v>43</v>
      </c>
      <c r="C75" s="70" t="s">
        <v>5</v>
      </c>
    </row>
    <row r="76" spans="1:4" ht="16.5" thickBot="1" x14ac:dyDescent="0.3">
      <c r="A76" s="4" t="s">
        <v>6</v>
      </c>
      <c r="B76" s="5" t="s">
        <v>44</v>
      </c>
      <c r="C76" s="53">
        <f>(4.3*2*22)-C41*6/100</f>
        <v>14.44</v>
      </c>
      <c r="D76" s="54"/>
    </row>
    <row r="77" spans="1:4" ht="16.5" thickBot="1" x14ac:dyDescent="0.3">
      <c r="A77" s="4" t="s">
        <v>8</v>
      </c>
      <c r="B77" s="5" t="s">
        <v>45</v>
      </c>
      <c r="C77" s="53">
        <f>(22*33)</f>
        <v>726</v>
      </c>
    </row>
    <row r="78" spans="1:4" ht="16.5" thickBot="1" x14ac:dyDescent="0.3">
      <c r="A78" s="4" t="s">
        <v>10</v>
      </c>
      <c r="B78" s="10" t="s">
        <v>46</v>
      </c>
      <c r="C78" s="53"/>
    </row>
    <row r="79" spans="1:4" ht="16.5" thickBot="1" x14ac:dyDescent="0.3">
      <c r="A79" s="4" t="s">
        <v>12</v>
      </c>
      <c r="B79" s="11" t="s">
        <v>47</v>
      </c>
      <c r="C79" s="53"/>
    </row>
    <row r="80" spans="1:4" ht="16.5" thickBot="1" x14ac:dyDescent="0.3">
      <c r="A80" s="4" t="s">
        <v>14</v>
      </c>
      <c r="B80" s="11" t="s">
        <v>48</v>
      </c>
      <c r="C80" s="53"/>
    </row>
    <row r="81" spans="1:5" ht="32.25" thickBot="1" x14ac:dyDescent="0.3">
      <c r="A81" s="4" t="s">
        <v>35</v>
      </c>
      <c r="B81" s="5" t="s">
        <v>143</v>
      </c>
      <c r="C81" s="53"/>
    </row>
    <row r="82" spans="1:5" ht="16.5" thickBot="1" x14ac:dyDescent="0.3">
      <c r="A82" s="67" t="s">
        <v>16</v>
      </c>
      <c r="B82" s="5" t="s">
        <v>147</v>
      </c>
      <c r="C82" s="53"/>
    </row>
    <row r="83" spans="1:5" ht="16.5" thickBot="1" x14ac:dyDescent="0.3">
      <c r="A83" s="162" t="s">
        <v>18</v>
      </c>
      <c r="B83" s="163"/>
      <c r="C83" s="53">
        <f>SUM(C76:C82)</f>
        <v>740.44</v>
      </c>
      <c r="D83" s="60"/>
    </row>
    <row r="84" spans="1:5" x14ac:dyDescent="0.25">
      <c r="A84" s="2" t="s">
        <v>111</v>
      </c>
      <c r="B84" s="40"/>
      <c r="C84" s="41"/>
    </row>
    <row r="85" spans="1:5" x14ac:dyDescent="0.25">
      <c r="A85" s="2" t="s">
        <v>112</v>
      </c>
    </row>
    <row r="86" spans="1:5" x14ac:dyDescent="0.25">
      <c r="A86" s="2" t="s">
        <v>163</v>
      </c>
    </row>
    <row r="88" spans="1:5" x14ac:dyDescent="0.25">
      <c r="A88" s="161" t="s">
        <v>49</v>
      </c>
      <c r="B88" s="161"/>
      <c r="C88" s="161"/>
    </row>
    <row r="89" spans="1:5" ht="16.5" thickBot="1" x14ac:dyDescent="0.3"/>
    <row r="90" spans="1:5" ht="16.5" thickBot="1" x14ac:dyDescent="0.3">
      <c r="A90" s="3">
        <v>2</v>
      </c>
      <c r="B90" s="70" t="s">
        <v>50</v>
      </c>
      <c r="C90" s="70" t="s">
        <v>5</v>
      </c>
    </row>
    <row r="91" spans="1:5" ht="16.5" thickBot="1" x14ac:dyDescent="0.3">
      <c r="A91" s="4" t="s">
        <v>21</v>
      </c>
      <c r="B91" s="5" t="s">
        <v>22</v>
      </c>
      <c r="C91" s="53">
        <f>C52</f>
        <v>566.35</v>
      </c>
    </row>
    <row r="92" spans="1:5" ht="16.5" thickBot="1" x14ac:dyDescent="0.3">
      <c r="A92" s="4" t="s">
        <v>27</v>
      </c>
      <c r="B92" s="5" t="s">
        <v>28</v>
      </c>
      <c r="C92" s="53">
        <f>D68</f>
        <v>1280.28</v>
      </c>
    </row>
    <row r="93" spans="1:5" ht="16.5" thickBot="1" x14ac:dyDescent="0.3">
      <c r="A93" s="4" t="s">
        <v>42</v>
      </c>
      <c r="B93" s="5" t="s">
        <v>43</v>
      </c>
      <c r="C93" s="53">
        <f>C83</f>
        <v>740.44</v>
      </c>
    </row>
    <row r="94" spans="1:5" ht="16.5" thickBot="1" x14ac:dyDescent="0.3">
      <c r="A94" s="162" t="s">
        <v>18</v>
      </c>
      <c r="B94" s="163"/>
      <c r="C94" s="53">
        <f>SUM(C91:C93)</f>
        <v>2587.0700000000002</v>
      </c>
    </row>
    <row r="95" spans="1:5" x14ac:dyDescent="0.25">
      <c r="A95" s="12"/>
      <c r="E95" s="54"/>
    </row>
    <row r="96" spans="1:5" x14ac:dyDescent="0.25">
      <c r="E96" s="54"/>
    </row>
    <row r="97" spans="1:7" x14ac:dyDescent="0.25">
      <c r="A97" s="160" t="s">
        <v>51</v>
      </c>
      <c r="B97" s="160"/>
      <c r="C97" s="160"/>
      <c r="D97" s="59"/>
    </row>
    <row r="98" spans="1:7" ht="16.5" thickBot="1" x14ac:dyDescent="0.3">
      <c r="D98" s="60"/>
    </row>
    <row r="99" spans="1:7" ht="16.5" thickBot="1" x14ac:dyDescent="0.3">
      <c r="A99" s="3">
        <v>3</v>
      </c>
      <c r="B99" s="70" t="s">
        <v>52</v>
      </c>
      <c r="C99" s="70" t="s">
        <v>5</v>
      </c>
      <c r="F99" s="54"/>
    </row>
    <row r="100" spans="1:7" ht="16.5" thickBot="1" x14ac:dyDescent="0.3">
      <c r="A100" s="4" t="s">
        <v>6</v>
      </c>
      <c r="B100" s="13" t="s">
        <v>53</v>
      </c>
      <c r="C100" s="55">
        <f>((((C41+C41/12+C41/12+1/3*C41/12))+C93-C81)/12)*50/100</f>
        <v>175.81</v>
      </c>
      <c r="D100" s="60"/>
      <c r="F100" s="54"/>
    </row>
    <row r="101" spans="1:7" ht="16.5" thickBot="1" x14ac:dyDescent="0.3">
      <c r="A101" s="4" t="s">
        <v>8</v>
      </c>
      <c r="B101" s="13" t="s">
        <v>54</v>
      </c>
      <c r="C101" s="55">
        <f>((C41+C41/12+C41/12+1/3*C41/12)*0.08/12)*50/100</f>
        <v>11.6</v>
      </c>
      <c r="D101" s="54"/>
      <c r="F101" s="54"/>
    </row>
    <row r="102" spans="1:7" ht="16.5" thickBot="1" x14ac:dyDescent="0.3">
      <c r="A102" s="4" t="s">
        <v>10</v>
      </c>
      <c r="B102" s="13" t="s">
        <v>148</v>
      </c>
      <c r="C102" s="62">
        <f>D67*40/100*50/100</f>
        <v>55.66</v>
      </c>
      <c r="D102" s="54"/>
      <c r="E102" s="54"/>
    </row>
    <row r="103" spans="1:7" ht="16.5" thickBot="1" x14ac:dyDescent="0.3">
      <c r="A103" s="4" t="s">
        <v>12</v>
      </c>
      <c r="B103" s="13" t="s">
        <v>55</v>
      </c>
      <c r="C103" s="55"/>
      <c r="D103" s="61"/>
    </row>
    <row r="104" spans="1:7" ht="16.5" thickBot="1" x14ac:dyDescent="0.3">
      <c r="A104" s="4" t="s">
        <v>14</v>
      </c>
      <c r="B104" s="13" t="s">
        <v>56</v>
      </c>
      <c r="C104" s="55"/>
    </row>
    <row r="105" spans="1:7" ht="16.5" thickBot="1" x14ac:dyDescent="0.3">
      <c r="A105" s="4" t="s">
        <v>35</v>
      </c>
      <c r="B105" s="13" t="s">
        <v>149</v>
      </c>
      <c r="C105" s="62">
        <f>D67*40/100*50/100</f>
        <v>55.66</v>
      </c>
    </row>
    <row r="106" spans="1:7" ht="16.5" thickBot="1" x14ac:dyDescent="0.3">
      <c r="A106" s="162" t="s">
        <v>18</v>
      </c>
      <c r="B106" s="163"/>
      <c r="C106" s="55">
        <f>SUM(C100:C105)</f>
        <v>298.73</v>
      </c>
      <c r="G106" s="49"/>
    </row>
    <row r="109" spans="1:7" x14ac:dyDescent="0.25">
      <c r="A109" s="160" t="s">
        <v>57</v>
      </c>
      <c r="B109" s="160"/>
      <c r="C109" s="160"/>
    </row>
    <row r="110" spans="1:7" x14ac:dyDescent="0.25">
      <c r="A110" s="2" t="s">
        <v>113</v>
      </c>
    </row>
    <row r="112" spans="1:7" x14ac:dyDescent="0.25">
      <c r="A112" s="161" t="s">
        <v>114</v>
      </c>
      <c r="B112" s="161"/>
      <c r="C112" s="161"/>
    </row>
    <row r="113" spans="1:7" ht="16.5" thickBot="1" x14ac:dyDescent="0.3">
      <c r="A113" s="8"/>
    </row>
    <row r="114" spans="1:7" ht="16.5" thickBot="1" x14ac:dyDescent="0.3">
      <c r="A114" s="3" t="s">
        <v>58</v>
      </c>
      <c r="B114" s="70" t="s">
        <v>59</v>
      </c>
      <c r="C114" s="70" t="s">
        <v>5</v>
      </c>
    </row>
    <row r="115" spans="1:7" ht="16.5" thickBot="1" x14ac:dyDescent="0.3">
      <c r="A115" s="4" t="s">
        <v>6</v>
      </c>
      <c r="B115" s="5" t="s">
        <v>115</v>
      </c>
      <c r="C115" s="62">
        <f>(C41+C94-C81+C106)/30*30/12</f>
        <v>483.21</v>
      </c>
      <c r="D115" s="54"/>
      <c r="E115" s="54"/>
      <c r="F115" s="54"/>
      <c r="G115" s="54"/>
    </row>
    <row r="116" spans="1:7" ht="16.5" thickBot="1" x14ac:dyDescent="0.3">
      <c r="A116" s="4" t="s">
        <v>8</v>
      </c>
      <c r="B116" s="5" t="s">
        <v>116</v>
      </c>
      <c r="C116" s="62">
        <f>(C41+C94-C81+C106)/30/12</f>
        <v>16.11</v>
      </c>
    </row>
    <row r="117" spans="1:7" ht="16.5" thickBot="1" x14ac:dyDescent="0.3">
      <c r="A117" s="4" t="s">
        <v>10</v>
      </c>
      <c r="B117" s="5" t="s">
        <v>117</v>
      </c>
      <c r="C117" s="62">
        <f>(C41+C94-C81+C106)/30/12</f>
        <v>16.11</v>
      </c>
    </row>
    <row r="118" spans="1:7" ht="16.5" thickBot="1" x14ac:dyDescent="0.3">
      <c r="A118" s="4" t="s">
        <v>12</v>
      </c>
      <c r="B118" s="5" t="s">
        <v>118</v>
      </c>
      <c r="C118" s="62">
        <f>(C41+C94-C81+C106)/30/12</f>
        <v>16.11</v>
      </c>
    </row>
    <row r="119" spans="1:7" ht="16.5" thickBot="1" x14ac:dyDescent="0.3">
      <c r="A119" s="4" t="s">
        <v>14</v>
      </c>
      <c r="B119" s="5" t="s">
        <v>119</v>
      </c>
      <c r="C119" s="62">
        <f>(C41+C94-C81+C106)/30/12</f>
        <v>16.11</v>
      </c>
    </row>
    <row r="120" spans="1:7" ht="17.25" customHeight="1" thickBot="1" x14ac:dyDescent="0.3">
      <c r="A120" s="4" t="s">
        <v>35</v>
      </c>
      <c r="B120" s="5" t="s">
        <v>156</v>
      </c>
      <c r="C120" s="62">
        <f>(C41+C94-C81+C106)/30/12</f>
        <v>16.11</v>
      </c>
    </row>
    <row r="121" spans="1:7" ht="16.5" thickBot="1" x14ac:dyDescent="0.3">
      <c r="A121" s="162" t="s">
        <v>40</v>
      </c>
      <c r="B121" s="163"/>
      <c r="C121" s="53">
        <f>SUM(C115:C120)</f>
        <v>563.76</v>
      </c>
    </row>
    <row r="124" spans="1:7" x14ac:dyDescent="0.25">
      <c r="A124" s="161" t="s">
        <v>120</v>
      </c>
      <c r="B124" s="161"/>
      <c r="C124" s="161"/>
    </row>
    <row r="125" spans="1:7" ht="16.5" thickBot="1" x14ac:dyDescent="0.3">
      <c r="A125" s="8"/>
    </row>
    <row r="126" spans="1:7" ht="16.5" thickBot="1" x14ac:dyDescent="0.3">
      <c r="A126" s="3" t="s">
        <v>60</v>
      </c>
      <c r="B126" s="70" t="s">
        <v>61</v>
      </c>
      <c r="C126" s="77" t="s">
        <v>5</v>
      </c>
    </row>
    <row r="127" spans="1:7" ht="16.5" thickBot="1" x14ac:dyDescent="0.3">
      <c r="A127" s="4" t="s">
        <v>6</v>
      </c>
      <c r="B127" s="76" t="s">
        <v>121</v>
      </c>
      <c r="C127" s="78">
        <v>0</v>
      </c>
    </row>
    <row r="128" spans="1:7" ht="16.5" thickBot="1" x14ac:dyDescent="0.3">
      <c r="A128" s="162" t="s">
        <v>18</v>
      </c>
      <c r="B128" s="163"/>
      <c r="C128" s="7"/>
    </row>
    <row r="131" spans="1:3" x14ac:dyDescent="0.25">
      <c r="A131" s="161" t="s">
        <v>62</v>
      </c>
      <c r="B131" s="161"/>
      <c r="C131" s="161"/>
    </row>
    <row r="132" spans="1:3" ht="16.5" thickBot="1" x14ac:dyDescent="0.3">
      <c r="A132" s="8"/>
    </row>
    <row r="133" spans="1:3" ht="16.5" thickBot="1" x14ac:dyDescent="0.3">
      <c r="A133" s="3">
        <v>4</v>
      </c>
      <c r="B133" s="70" t="s">
        <v>63</v>
      </c>
      <c r="C133" s="70" t="s">
        <v>5</v>
      </c>
    </row>
    <row r="134" spans="1:3" ht="16.5" thickBot="1" x14ac:dyDescent="0.3">
      <c r="A134" s="4" t="s">
        <v>58</v>
      </c>
      <c r="B134" s="5" t="s">
        <v>122</v>
      </c>
      <c r="C134" s="53">
        <f>C121</f>
        <v>563.76</v>
      </c>
    </row>
    <row r="135" spans="1:3" ht="16.5" thickBot="1" x14ac:dyDescent="0.3">
      <c r="A135" s="4" t="s">
        <v>60</v>
      </c>
      <c r="B135" s="5" t="s">
        <v>123</v>
      </c>
      <c r="C135" s="55">
        <f>C127</f>
        <v>0</v>
      </c>
    </row>
    <row r="136" spans="1:3" ht="16.5" thickBot="1" x14ac:dyDescent="0.3">
      <c r="A136" s="162" t="s">
        <v>18</v>
      </c>
      <c r="B136" s="163"/>
      <c r="C136" s="53">
        <f>SUM(C134:C135)</f>
        <v>563.76</v>
      </c>
    </row>
    <row r="139" spans="1:3" x14ac:dyDescent="0.25">
      <c r="A139" s="160" t="s">
        <v>64</v>
      </c>
      <c r="B139" s="160"/>
      <c r="C139" s="160"/>
    </row>
    <row r="140" spans="1:3" ht="16.5" thickBot="1" x14ac:dyDescent="0.3"/>
    <row r="141" spans="1:3" ht="16.5" thickBot="1" x14ac:dyDescent="0.3">
      <c r="A141" s="3">
        <v>5</v>
      </c>
      <c r="B141" s="14" t="s">
        <v>65</v>
      </c>
      <c r="C141" s="70" t="s">
        <v>5</v>
      </c>
    </row>
    <row r="142" spans="1:3" ht="16.5" thickBot="1" x14ac:dyDescent="0.3">
      <c r="A142" s="4" t="s">
        <v>6</v>
      </c>
      <c r="B142" s="5" t="s">
        <v>66</v>
      </c>
      <c r="C142" s="53">
        <v>25.27</v>
      </c>
    </row>
    <row r="143" spans="1:3" ht="16.5" thickBot="1" x14ac:dyDescent="0.3">
      <c r="A143" s="4" t="s">
        <v>8</v>
      </c>
      <c r="B143" s="5" t="s">
        <v>67</v>
      </c>
      <c r="C143" s="53"/>
    </row>
    <row r="144" spans="1:3" ht="16.5" thickBot="1" x14ac:dyDescent="0.3">
      <c r="A144" s="4" t="s">
        <v>10</v>
      </c>
      <c r="B144" s="5" t="s">
        <v>145</v>
      </c>
      <c r="C144" s="53"/>
    </row>
    <row r="145" spans="1:7" ht="16.5" thickBot="1" x14ac:dyDescent="0.3">
      <c r="A145" s="4" t="s">
        <v>12</v>
      </c>
      <c r="B145" s="5" t="s">
        <v>17</v>
      </c>
      <c r="C145" s="53"/>
    </row>
    <row r="146" spans="1:7" ht="16.5" thickBot="1" x14ac:dyDescent="0.3">
      <c r="A146" s="162" t="s">
        <v>40</v>
      </c>
      <c r="B146" s="163"/>
      <c r="C146" s="53">
        <f>SUM(C142:C145)</f>
        <v>25.27</v>
      </c>
    </row>
    <row r="147" spans="1:7" x14ac:dyDescent="0.25">
      <c r="A147" s="2" t="s">
        <v>124</v>
      </c>
    </row>
    <row r="149" spans="1:7" x14ac:dyDescent="0.25">
      <c r="A149" s="160" t="s">
        <v>68</v>
      </c>
      <c r="B149" s="160"/>
      <c r="C149" s="160"/>
    </row>
    <row r="150" spans="1:7" ht="16.5" thickBot="1" x14ac:dyDescent="0.3"/>
    <row r="151" spans="1:7" ht="16.5" thickBot="1" x14ac:dyDescent="0.3">
      <c r="A151" s="3">
        <v>6</v>
      </c>
      <c r="B151" s="14" t="s">
        <v>69</v>
      </c>
      <c r="C151" s="70" t="s">
        <v>29</v>
      </c>
      <c r="D151" s="70" t="s">
        <v>5</v>
      </c>
    </row>
    <row r="152" spans="1:7" ht="16.5" thickBot="1" x14ac:dyDescent="0.3">
      <c r="A152" s="4" t="s">
        <v>6</v>
      </c>
      <c r="B152" s="5" t="s">
        <v>70</v>
      </c>
      <c r="C152" s="9">
        <v>0.06</v>
      </c>
      <c r="D152" s="69">
        <f>C170*C152</f>
        <v>383.25</v>
      </c>
    </row>
    <row r="153" spans="1:7" ht="16.5" thickBot="1" x14ac:dyDescent="0.3">
      <c r="A153" s="4" t="s">
        <v>8</v>
      </c>
      <c r="B153" s="5" t="s">
        <v>71</v>
      </c>
      <c r="C153" s="9">
        <v>6.7900000000000002E-2</v>
      </c>
      <c r="D153" s="69">
        <f>($C$170+$D$152)/(1-$C$153-$C$155-$C$157)*C153</f>
        <v>543.67999999999995</v>
      </c>
    </row>
    <row r="154" spans="1:7" ht="16.5" thickBot="1" x14ac:dyDescent="0.3">
      <c r="A154" s="4" t="s">
        <v>10</v>
      </c>
      <c r="B154" s="5" t="s">
        <v>72</v>
      </c>
      <c r="C154" s="9"/>
      <c r="D154" s="53"/>
    </row>
    <row r="155" spans="1:7" ht="16.5" thickBot="1" x14ac:dyDescent="0.3">
      <c r="A155" s="4"/>
      <c r="B155" s="5" t="s">
        <v>146</v>
      </c>
      <c r="C155" s="66">
        <v>3.6499999999999998E-2</v>
      </c>
      <c r="D155" s="69">
        <f>($C$170+$D$152)/(1-$C$153-$C$155-$C$157)*C155</f>
        <v>292.26</v>
      </c>
      <c r="E155" s="54"/>
      <c r="F155" s="54"/>
      <c r="G155" s="54"/>
    </row>
    <row r="156" spans="1:7" ht="16.5" thickBot="1" x14ac:dyDescent="0.3">
      <c r="A156" s="4"/>
      <c r="B156" s="5" t="s">
        <v>73</v>
      </c>
      <c r="C156" s="6"/>
      <c r="D156" s="53"/>
      <c r="E156" s="54"/>
      <c r="F156" s="54"/>
    </row>
    <row r="157" spans="1:7" ht="16.5" thickBot="1" x14ac:dyDescent="0.3">
      <c r="A157" s="4"/>
      <c r="B157" s="5" t="s">
        <v>74</v>
      </c>
      <c r="C157" s="9">
        <v>0.05</v>
      </c>
      <c r="D157" s="69">
        <f>($C$170+$D$152)/(1-$C$153-$C$155-$C$157)*C157</f>
        <v>400.35</v>
      </c>
    </row>
    <row r="158" spans="1:7" ht="16.5" thickBot="1" x14ac:dyDescent="0.3">
      <c r="A158" s="162" t="s">
        <v>40</v>
      </c>
      <c r="B158" s="163"/>
      <c r="C158" s="9">
        <f>C152+C153+C155+C157</f>
        <v>0.21440000000000001</v>
      </c>
      <c r="D158" s="55">
        <f>SUM(D152:D157)</f>
        <v>1619.54</v>
      </c>
    </row>
    <row r="159" spans="1:7" x14ac:dyDescent="0.25">
      <c r="A159" s="2" t="s">
        <v>125</v>
      </c>
      <c r="B159" s="40"/>
      <c r="C159" s="43"/>
      <c r="D159" s="47"/>
    </row>
    <row r="160" spans="1:7" x14ac:dyDescent="0.25">
      <c r="A160" s="2" t="s">
        <v>126</v>
      </c>
    </row>
    <row r="162" spans="1:6" x14ac:dyDescent="0.25">
      <c r="A162" s="160" t="s">
        <v>75</v>
      </c>
      <c r="B162" s="160"/>
      <c r="C162" s="160"/>
    </row>
    <row r="163" spans="1:6" ht="16.5" thickBot="1" x14ac:dyDescent="0.3"/>
    <row r="164" spans="1:6" ht="16.5" thickBot="1" x14ac:dyDescent="0.3">
      <c r="A164" s="3"/>
      <c r="B164" s="70" t="s">
        <v>76</v>
      </c>
      <c r="C164" s="70" t="s">
        <v>5</v>
      </c>
    </row>
    <row r="165" spans="1:6" ht="16.5" thickBot="1" x14ac:dyDescent="0.3">
      <c r="A165" s="68" t="s">
        <v>6</v>
      </c>
      <c r="B165" s="5" t="s">
        <v>3</v>
      </c>
      <c r="C165" s="63">
        <f>C41</f>
        <v>2912.67</v>
      </c>
    </row>
    <row r="166" spans="1:6" ht="16.5" thickBot="1" x14ac:dyDescent="0.3">
      <c r="A166" s="68" t="s">
        <v>8</v>
      </c>
      <c r="B166" s="5" t="s">
        <v>19</v>
      </c>
      <c r="C166" s="63">
        <f>C94</f>
        <v>2587.0700000000002</v>
      </c>
    </row>
    <row r="167" spans="1:6" ht="16.5" thickBot="1" x14ac:dyDescent="0.3">
      <c r="A167" s="68" t="s">
        <v>10</v>
      </c>
      <c r="B167" s="5" t="s">
        <v>51</v>
      </c>
      <c r="C167" s="64">
        <f>C106</f>
        <v>298.73</v>
      </c>
    </row>
    <row r="168" spans="1:6" ht="16.5" thickBot="1" x14ac:dyDescent="0.3">
      <c r="A168" s="68" t="s">
        <v>12</v>
      </c>
      <c r="B168" s="5" t="s">
        <v>57</v>
      </c>
      <c r="C168" s="63">
        <f>C136</f>
        <v>563.76</v>
      </c>
    </row>
    <row r="169" spans="1:6" ht="16.5" thickBot="1" x14ac:dyDescent="0.3">
      <c r="A169" s="68" t="s">
        <v>14</v>
      </c>
      <c r="B169" s="5" t="s">
        <v>64</v>
      </c>
      <c r="C169" s="63">
        <f>C146</f>
        <v>25.27</v>
      </c>
    </row>
    <row r="170" spans="1:6" ht="16.5" thickBot="1" x14ac:dyDescent="0.3">
      <c r="A170" s="162" t="s">
        <v>77</v>
      </c>
      <c r="B170" s="163"/>
      <c r="C170" s="63">
        <f>SUM(C165:C169)</f>
        <v>6387.5</v>
      </c>
    </row>
    <row r="171" spans="1:6" ht="16.5" thickBot="1" x14ac:dyDescent="0.3">
      <c r="A171" s="68" t="s">
        <v>35</v>
      </c>
      <c r="B171" s="5" t="s">
        <v>78</v>
      </c>
      <c r="C171" s="64">
        <f>D158</f>
        <v>1619.54</v>
      </c>
    </row>
    <row r="172" spans="1:6" ht="16.5" thickBot="1" x14ac:dyDescent="0.3">
      <c r="A172" s="162" t="s">
        <v>79</v>
      </c>
      <c r="B172" s="163"/>
      <c r="C172" s="65">
        <f>C171+C170</f>
        <v>8007.04</v>
      </c>
      <c r="D172" s="49"/>
      <c r="E172" s="49"/>
      <c r="F172" s="49"/>
    </row>
    <row r="173" spans="1:6" x14ac:dyDescent="0.25">
      <c r="D173" s="48"/>
      <c r="E173" s="48"/>
      <c r="F173" s="48"/>
    </row>
    <row r="175" spans="1:6" x14ac:dyDescent="0.25">
      <c r="A175" s="160" t="s">
        <v>127</v>
      </c>
      <c r="B175" s="160"/>
      <c r="C175" s="160"/>
    </row>
    <row r="176" spans="1:6" ht="16.5" thickBot="1" x14ac:dyDescent="0.3"/>
    <row r="177" spans="1:7" ht="63.75" thickBot="1" x14ac:dyDescent="0.3">
      <c r="A177" s="162" t="s">
        <v>128</v>
      </c>
      <c r="B177" s="163"/>
      <c r="C177" s="70" t="s">
        <v>130</v>
      </c>
      <c r="D177" s="70" t="s">
        <v>131</v>
      </c>
      <c r="E177" s="70" t="s">
        <v>132</v>
      </c>
      <c r="F177" s="70" t="s">
        <v>133</v>
      </c>
      <c r="G177" s="70" t="s">
        <v>134</v>
      </c>
    </row>
    <row r="178" spans="1:7" ht="16.5" thickBot="1" x14ac:dyDescent="0.3">
      <c r="A178" s="68" t="s">
        <v>129</v>
      </c>
      <c r="B178" s="5" t="str">
        <f>C25</f>
        <v>Motorista - CNH "d"</v>
      </c>
      <c r="C178" s="63">
        <f>C172</f>
        <v>8007.04</v>
      </c>
      <c r="D178" s="15">
        <v>1</v>
      </c>
      <c r="E178" s="63">
        <f>D178*C178</f>
        <v>8007.04</v>
      </c>
      <c r="F178" s="15">
        <v>1</v>
      </c>
      <c r="G178" s="63">
        <f>F178*E178</f>
        <v>8007.04</v>
      </c>
    </row>
    <row r="179" spans="1:7" ht="16.5" thickBot="1" x14ac:dyDescent="0.3">
      <c r="A179" s="68"/>
      <c r="B179" s="5"/>
      <c r="C179" s="15"/>
      <c r="D179" s="15"/>
      <c r="E179" s="15"/>
      <c r="F179" s="15"/>
      <c r="G179" s="15"/>
    </row>
    <row r="181" spans="1:7" x14ac:dyDescent="0.25">
      <c r="A181" s="160" t="s">
        <v>135</v>
      </c>
      <c r="B181" s="160"/>
      <c r="C181" s="160"/>
    </row>
    <row r="182" spans="1:7" ht="16.5" thickBot="1" x14ac:dyDescent="0.3"/>
    <row r="183" spans="1:7" ht="16.5" thickBot="1" x14ac:dyDescent="0.3">
      <c r="A183" s="3"/>
      <c r="B183" s="70" t="s">
        <v>136</v>
      </c>
      <c r="C183" s="70" t="s">
        <v>5</v>
      </c>
    </row>
    <row r="184" spans="1:7" ht="16.5" thickBot="1" x14ac:dyDescent="0.3">
      <c r="A184" s="68" t="s">
        <v>6</v>
      </c>
      <c r="B184" s="5" t="s">
        <v>137</v>
      </c>
      <c r="C184" s="63">
        <f>E178</f>
        <v>8007.04</v>
      </c>
    </row>
    <row r="185" spans="1:7" ht="16.5" thickBot="1" x14ac:dyDescent="0.3">
      <c r="A185" s="68" t="s">
        <v>8</v>
      </c>
      <c r="B185" s="5" t="s">
        <v>138</v>
      </c>
      <c r="C185" s="63">
        <f>G178</f>
        <v>8007.04</v>
      </c>
    </row>
    <row r="186" spans="1:7" ht="32.25" thickBot="1" x14ac:dyDescent="0.3">
      <c r="A186" s="68" t="s">
        <v>10</v>
      </c>
      <c r="B186" s="5" t="s">
        <v>139</v>
      </c>
      <c r="C186" s="64">
        <f>C185*12</f>
        <v>96084.479999999996</v>
      </c>
    </row>
    <row r="187" spans="1:7" x14ac:dyDescent="0.25">
      <c r="A187" s="2" t="s">
        <v>140</v>
      </c>
    </row>
  </sheetData>
  <mergeCells count="30">
    <mergeCell ref="A181:C181"/>
    <mergeCell ref="A131:C131"/>
    <mergeCell ref="A136:B136"/>
    <mergeCell ref="A139:C139"/>
    <mergeCell ref="A146:B146"/>
    <mergeCell ref="A149:C149"/>
    <mergeCell ref="A158:B158"/>
    <mergeCell ref="A162:C162"/>
    <mergeCell ref="A170:B170"/>
    <mergeCell ref="A172:B172"/>
    <mergeCell ref="A175:C175"/>
    <mergeCell ref="A177:B177"/>
    <mergeCell ref="A128:B128"/>
    <mergeCell ref="A68:B68"/>
    <mergeCell ref="A73:C73"/>
    <mergeCell ref="A83:B83"/>
    <mergeCell ref="A88:C88"/>
    <mergeCell ref="A94:B94"/>
    <mergeCell ref="A97:C97"/>
    <mergeCell ref="A106:B106"/>
    <mergeCell ref="A109:C109"/>
    <mergeCell ref="A112:C112"/>
    <mergeCell ref="A121:B121"/>
    <mergeCell ref="A124:C124"/>
    <mergeCell ref="A57:D57"/>
    <mergeCell ref="A31:C31"/>
    <mergeCell ref="A41:B41"/>
    <mergeCell ref="A44:C44"/>
    <mergeCell ref="A46:C46"/>
    <mergeCell ref="A52:B52"/>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37494-245A-4461-9B99-C98C00C44F26}">
  <sheetPr>
    <pageSetUpPr fitToPage="1"/>
  </sheetPr>
  <dimension ref="A1:G187"/>
  <sheetViews>
    <sheetView tabSelected="1" workbookViewId="0">
      <selection activeCell="C26" sqref="C26"/>
    </sheetView>
  </sheetViews>
  <sheetFormatPr defaultRowHeight="15.75" x14ac:dyDescent="0.25"/>
  <cols>
    <col min="1" max="1" width="14.42578125" style="2" customWidth="1"/>
    <col min="2" max="2" width="62" style="2" customWidth="1"/>
    <col min="3" max="3" width="45.28515625" style="2" customWidth="1"/>
    <col min="4" max="4" width="34" style="2" customWidth="1"/>
    <col min="5" max="6" width="14.5703125" style="2" bestFit="1" customWidth="1"/>
    <col min="7" max="7" width="15.140625" style="2" customWidth="1"/>
    <col min="8" max="16384" width="9.140625" style="2"/>
  </cols>
  <sheetData>
    <row r="1" spans="1:4" ht="23.25" x14ac:dyDescent="0.35">
      <c r="A1" s="1" t="s">
        <v>0</v>
      </c>
      <c r="B1" s="1"/>
      <c r="C1" s="1"/>
      <c r="D1" s="1"/>
    </row>
    <row r="2" spans="1:4" ht="23.25" hidden="1" x14ac:dyDescent="0.35">
      <c r="A2" s="1" t="s">
        <v>1</v>
      </c>
      <c r="B2" s="1"/>
      <c r="C2" s="1"/>
      <c r="D2" s="1"/>
    </row>
    <row r="3" spans="1:4" ht="23.25" hidden="1" x14ac:dyDescent="0.35">
      <c r="A3" s="57" t="s">
        <v>144</v>
      </c>
      <c r="B3" s="56"/>
      <c r="C3" s="56"/>
      <c r="D3" s="56"/>
    </row>
    <row r="4" spans="1:4" x14ac:dyDescent="0.25">
      <c r="A4" s="18" t="s">
        <v>2</v>
      </c>
      <c r="B4" s="18" t="s">
        <v>2</v>
      </c>
      <c r="C4" s="106" t="s">
        <v>187</v>
      </c>
      <c r="D4" s="16"/>
    </row>
    <row r="5" spans="1:4" x14ac:dyDescent="0.25">
      <c r="A5" s="19" t="s">
        <v>87</v>
      </c>
      <c r="B5" s="19" t="s">
        <v>87</v>
      </c>
      <c r="C5" s="107" t="s">
        <v>211</v>
      </c>
      <c r="D5" s="17"/>
    </row>
    <row r="6" spans="1:4" x14ac:dyDescent="0.25">
      <c r="A6" s="19" t="s">
        <v>88</v>
      </c>
      <c r="B6" s="19" t="s">
        <v>88</v>
      </c>
      <c r="C6" s="105"/>
      <c r="D6" s="17"/>
    </row>
    <row r="7" spans="1:4" x14ac:dyDescent="0.25">
      <c r="A7" s="19"/>
      <c r="B7" s="20"/>
      <c r="C7" s="102"/>
      <c r="D7" s="17"/>
    </row>
    <row r="8" spans="1:4" x14ac:dyDescent="0.25">
      <c r="A8" s="20"/>
      <c r="B8" s="21" t="s">
        <v>80</v>
      </c>
      <c r="C8" s="20"/>
      <c r="D8" s="17"/>
    </row>
    <row r="9" spans="1:4" x14ac:dyDescent="0.25">
      <c r="A9" s="20" t="s">
        <v>6</v>
      </c>
      <c r="B9" s="19" t="s">
        <v>81</v>
      </c>
      <c r="C9" s="103"/>
      <c r="D9" s="17"/>
    </row>
    <row r="10" spans="1:4" x14ac:dyDescent="0.25">
      <c r="A10" s="20" t="s">
        <v>8</v>
      </c>
      <c r="B10" s="19" t="s">
        <v>168</v>
      </c>
      <c r="C10" s="20" t="s">
        <v>169</v>
      </c>
      <c r="D10" s="17"/>
    </row>
    <row r="11" spans="1:4" x14ac:dyDescent="0.25">
      <c r="A11" s="20" t="s">
        <v>10</v>
      </c>
      <c r="B11" s="19" t="s">
        <v>83</v>
      </c>
      <c r="C11" s="103"/>
      <c r="D11" s="17"/>
    </row>
    <row r="12" spans="1:4" x14ac:dyDescent="0.25">
      <c r="A12" s="20" t="s">
        <v>12</v>
      </c>
      <c r="B12" s="19" t="s">
        <v>89</v>
      </c>
      <c r="C12" s="20" t="s">
        <v>90</v>
      </c>
      <c r="D12" s="17"/>
    </row>
    <row r="13" spans="1:4" x14ac:dyDescent="0.25">
      <c r="A13" s="20"/>
      <c r="B13" s="19"/>
      <c r="C13" s="20"/>
      <c r="D13" s="17"/>
    </row>
    <row r="14" spans="1:4" x14ac:dyDescent="0.25">
      <c r="A14" s="20"/>
      <c r="B14" s="21" t="s">
        <v>91</v>
      </c>
      <c r="C14" s="20"/>
      <c r="D14" s="17"/>
    </row>
    <row r="15" spans="1:4" x14ac:dyDescent="0.25">
      <c r="A15" s="20" t="s">
        <v>6</v>
      </c>
      <c r="B15" s="19" t="s">
        <v>84</v>
      </c>
      <c r="C15" s="20" t="s">
        <v>170</v>
      </c>
      <c r="D15" s="17"/>
    </row>
    <row r="16" spans="1:4" x14ac:dyDescent="0.25">
      <c r="A16" s="20" t="s">
        <v>8</v>
      </c>
      <c r="B16" s="19" t="s">
        <v>85</v>
      </c>
      <c r="C16" s="20" t="s">
        <v>171</v>
      </c>
      <c r="D16" s="17"/>
    </row>
    <row r="17" spans="1:4" x14ac:dyDescent="0.25">
      <c r="A17" s="20" t="s">
        <v>10</v>
      </c>
      <c r="B17" s="19" t="s">
        <v>92</v>
      </c>
      <c r="C17" s="20">
        <v>1</v>
      </c>
      <c r="D17" s="17"/>
    </row>
    <row r="18" spans="1:4" ht="15.75" hidden="1" customHeight="1" x14ac:dyDescent="0.25">
      <c r="A18" s="31" t="s">
        <v>94</v>
      </c>
      <c r="B18" s="31"/>
      <c r="C18" s="17"/>
      <c r="D18" s="17"/>
    </row>
    <row r="19" spans="1:4" x14ac:dyDescent="0.25">
      <c r="A19" s="31"/>
      <c r="B19" s="31"/>
      <c r="C19" s="17"/>
      <c r="D19" s="17"/>
    </row>
    <row r="20" spans="1:4" x14ac:dyDescent="0.25">
      <c r="A20" s="31"/>
      <c r="B20" s="31"/>
      <c r="C20" s="17"/>
      <c r="D20" s="17"/>
    </row>
    <row r="21" spans="1:4" x14ac:dyDescent="0.25">
      <c r="A21" s="39" t="s">
        <v>95</v>
      </c>
      <c r="B21" s="32"/>
      <c r="C21" s="33"/>
      <c r="D21" s="17"/>
    </row>
    <row r="22" spans="1:4" x14ac:dyDescent="0.25">
      <c r="A22" s="34" t="s">
        <v>97</v>
      </c>
      <c r="B22" s="31"/>
      <c r="C22" s="35"/>
      <c r="D22" s="17"/>
    </row>
    <row r="23" spans="1:4" x14ac:dyDescent="0.25">
      <c r="A23" s="36" t="s">
        <v>98</v>
      </c>
      <c r="B23" s="37"/>
      <c r="C23" s="38"/>
      <c r="D23" s="17"/>
    </row>
    <row r="24" spans="1:4" x14ac:dyDescent="0.25">
      <c r="A24" s="19"/>
      <c r="B24" s="21" t="s">
        <v>99</v>
      </c>
      <c r="D24" s="17"/>
    </row>
    <row r="25" spans="1:4" x14ac:dyDescent="0.25">
      <c r="A25" s="19">
        <v>1</v>
      </c>
      <c r="B25" s="19" t="s">
        <v>100</v>
      </c>
      <c r="C25" s="20" t="s">
        <v>170</v>
      </c>
      <c r="D25" s="17"/>
    </row>
    <row r="26" spans="1:4" x14ac:dyDescent="0.25">
      <c r="A26" s="19">
        <v>2</v>
      </c>
      <c r="B26" s="19" t="s">
        <v>101</v>
      </c>
      <c r="C26" s="80" t="s">
        <v>172</v>
      </c>
      <c r="D26" s="81"/>
    </row>
    <row r="27" spans="1:4" x14ac:dyDescent="0.25">
      <c r="A27" s="19">
        <v>3</v>
      </c>
      <c r="B27" s="19" t="s">
        <v>96</v>
      </c>
      <c r="C27" s="82" t="s">
        <v>173</v>
      </c>
      <c r="D27" s="17"/>
    </row>
    <row r="28" spans="1:4" x14ac:dyDescent="0.25">
      <c r="A28" s="19">
        <v>4</v>
      </c>
      <c r="B28" s="19" t="s">
        <v>102</v>
      </c>
      <c r="C28" s="20" t="s">
        <v>173</v>
      </c>
      <c r="D28" s="17"/>
    </row>
    <row r="29" spans="1:4" x14ac:dyDescent="0.25">
      <c r="A29" s="19">
        <v>5</v>
      </c>
      <c r="B29" s="19" t="s">
        <v>103</v>
      </c>
      <c r="C29" s="20" t="s">
        <v>173</v>
      </c>
      <c r="D29" s="17"/>
    </row>
    <row r="30" spans="1:4" x14ac:dyDescent="0.25">
      <c r="A30" s="31"/>
      <c r="B30" s="31"/>
      <c r="C30" s="17"/>
      <c r="D30" s="17"/>
    </row>
    <row r="31" spans="1:4" x14ac:dyDescent="0.25">
      <c r="A31" s="160" t="s">
        <v>3</v>
      </c>
      <c r="B31" s="160"/>
      <c r="C31" s="160"/>
    </row>
    <row r="32" spans="1:4" ht="16.5" thickBot="1" x14ac:dyDescent="0.3"/>
    <row r="33" spans="1:4" ht="16.5" thickBot="1" x14ac:dyDescent="0.3">
      <c r="A33" s="3">
        <v>1</v>
      </c>
      <c r="B33" s="70" t="s">
        <v>4</v>
      </c>
      <c r="C33" s="70" t="s">
        <v>5</v>
      </c>
    </row>
    <row r="34" spans="1:4" ht="16.5" thickBot="1" x14ac:dyDescent="0.3">
      <c r="A34" s="4" t="s">
        <v>6</v>
      </c>
      <c r="B34" s="5" t="s">
        <v>7</v>
      </c>
      <c r="C34" s="148">
        <v>3191.48</v>
      </c>
      <c r="D34" s="54"/>
    </row>
    <row r="35" spans="1:4" ht="16.5" thickBot="1" x14ac:dyDescent="0.3">
      <c r="A35" s="4" t="s">
        <v>8</v>
      </c>
      <c r="B35" s="5" t="s">
        <v>9</v>
      </c>
      <c r="C35" s="158"/>
    </row>
    <row r="36" spans="1:4" ht="16.5" thickBot="1" x14ac:dyDescent="0.3">
      <c r="A36" s="4" t="s">
        <v>10</v>
      </c>
      <c r="B36" s="5" t="s">
        <v>11</v>
      </c>
      <c r="C36" s="159"/>
    </row>
    <row r="37" spans="1:4" ht="16.5" thickBot="1" x14ac:dyDescent="0.3">
      <c r="A37" s="4" t="s">
        <v>12</v>
      </c>
      <c r="B37" s="5" t="s">
        <v>13</v>
      </c>
      <c r="C37" s="159"/>
    </row>
    <row r="38" spans="1:4" ht="16.5" thickBot="1" x14ac:dyDescent="0.3">
      <c r="A38" s="4" t="s">
        <v>14</v>
      </c>
      <c r="B38" s="5" t="s">
        <v>15</v>
      </c>
      <c r="C38" s="159"/>
    </row>
    <row r="39" spans="1:4" ht="16.5" thickBot="1" x14ac:dyDescent="0.3">
      <c r="A39" s="4" t="s">
        <v>35</v>
      </c>
      <c r="B39" s="5" t="s">
        <v>17</v>
      </c>
      <c r="C39" s="159"/>
    </row>
    <row r="40" spans="1:4" ht="16.5" hidden="1" thickBot="1" x14ac:dyDescent="0.3">
      <c r="A40" s="4" t="s">
        <v>16</v>
      </c>
      <c r="C40" s="6"/>
    </row>
    <row r="41" spans="1:4" ht="16.5" thickBot="1" x14ac:dyDescent="0.3">
      <c r="A41" s="162" t="s">
        <v>18</v>
      </c>
      <c r="B41" s="163"/>
      <c r="C41" s="53">
        <f>SUM(C34:C40)</f>
        <v>3191.48</v>
      </c>
      <c r="D41" s="60"/>
    </row>
    <row r="42" spans="1:4" hidden="1" x14ac:dyDescent="0.25">
      <c r="A42" s="2" t="s">
        <v>104</v>
      </c>
    </row>
    <row r="44" spans="1:4" x14ac:dyDescent="0.25">
      <c r="A44" s="160" t="s">
        <v>19</v>
      </c>
      <c r="B44" s="160"/>
      <c r="C44" s="160"/>
    </row>
    <row r="45" spans="1:4" x14ac:dyDescent="0.25">
      <c r="A45" s="8"/>
    </row>
    <row r="46" spans="1:4" x14ac:dyDescent="0.25">
      <c r="A46" s="161" t="s">
        <v>20</v>
      </c>
      <c r="B46" s="161"/>
      <c r="C46" s="161"/>
    </row>
    <row r="47" spans="1:4" ht="16.5" thickBot="1" x14ac:dyDescent="0.3"/>
    <row r="48" spans="1:4" ht="16.5" thickBot="1" x14ac:dyDescent="0.3">
      <c r="A48" s="3" t="s">
        <v>21</v>
      </c>
      <c r="B48" s="70" t="s">
        <v>22</v>
      </c>
      <c r="C48" s="70" t="s">
        <v>5</v>
      </c>
    </row>
    <row r="49" spans="1:4" ht="16.5" thickBot="1" x14ac:dyDescent="0.3">
      <c r="A49" s="4" t="s">
        <v>6</v>
      </c>
      <c r="B49" s="5" t="s">
        <v>23</v>
      </c>
      <c r="C49" s="7">
        <f>C34*1/12</f>
        <v>265.95999999999998</v>
      </c>
    </row>
    <row r="50" spans="1:4" ht="16.5" thickBot="1" x14ac:dyDescent="0.3">
      <c r="A50" s="4" t="s">
        <v>8</v>
      </c>
      <c r="B50" s="5" t="s">
        <v>24</v>
      </c>
      <c r="C50" s="7">
        <f>C34*1/12</f>
        <v>265.95999999999998</v>
      </c>
    </row>
    <row r="51" spans="1:4" ht="16.5" thickBot="1" x14ac:dyDescent="0.3">
      <c r="A51" s="4" t="s">
        <v>10</v>
      </c>
      <c r="B51" s="5" t="s">
        <v>25</v>
      </c>
      <c r="C51" s="7">
        <f>C34*1/3*1/12</f>
        <v>88.65</v>
      </c>
    </row>
    <row r="52" spans="1:4" ht="16.5" thickBot="1" x14ac:dyDescent="0.3">
      <c r="A52" s="162" t="s">
        <v>18</v>
      </c>
      <c r="B52" s="163"/>
      <c r="C52" s="7">
        <f>SUM(C49:C51)</f>
        <v>620.57000000000005</v>
      </c>
      <c r="D52" s="60"/>
    </row>
    <row r="53" spans="1:4" hidden="1" x14ac:dyDescent="0.25">
      <c r="A53" s="2" t="s">
        <v>105</v>
      </c>
      <c r="B53" s="45"/>
      <c r="C53" s="45"/>
    </row>
    <row r="54" spans="1:4" hidden="1" x14ac:dyDescent="0.25">
      <c r="A54" s="2" t="s">
        <v>106</v>
      </c>
      <c r="B54" s="46"/>
      <c r="C54" s="46"/>
    </row>
    <row r="55" spans="1:4" hidden="1" x14ac:dyDescent="0.25">
      <c r="A55" s="2" t="s">
        <v>107</v>
      </c>
      <c r="B55" s="42"/>
      <c r="C55" s="42"/>
    </row>
    <row r="57" spans="1:4" x14ac:dyDescent="0.25">
      <c r="A57" s="165" t="s">
        <v>26</v>
      </c>
      <c r="B57" s="165"/>
      <c r="C57" s="165"/>
      <c r="D57" s="165"/>
    </row>
    <row r="58" spans="1:4" ht="16.5" thickBot="1" x14ac:dyDescent="0.3"/>
    <row r="59" spans="1:4" ht="16.5" thickBot="1" x14ac:dyDescent="0.3">
      <c r="A59" s="3" t="s">
        <v>27</v>
      </c>
      <c r="B59" s="70" t="s">
        <v>28</v>
      </c>
      <c r="C59" s="70" t="s">
        <v>29</v>
      </c>
      <c r="D59" s="70" t="s">
        <v>5</v>
      </c>
    </row>
    <row r="60" spans="1:4" ht="16.5" thickBot="1" x14ac:dyDescent="0.3">
      <c r="A60" s="4" t="s">
        <v>6</v>
      </c>
      <c r="B60" s="5" t="s">
        <v>30</v>
      </c>
      <c r="C60" s="9">
        <v>0.2</v>
      </c>
      <c r="D60" s="53">
        <f>($C$41+$C$52)*C60</f>
        <v>762.41</v>
      </c>
    </row>
    <row r="61" spans="1:4" ht="16.5" thickBot="1" x14ac:dyDescent="0.3">
      <c r="A61" s="4" t="s">
        <v>8</v>
      </c>
      <c r="B61" s="5" t="s">
        <v>31</v>
      </c>
      <c r="C61" s="9">
        <v>2.5000000000000001E-2</v>
      </c>
      <c r="D61" s="53">
        <f t="shared" ref="D61:D67" si="0">($C$41+$C$52)*C61</f>
        <v>95.3</v>
      </c>
    </row>
    <row r="62" spans="1:4" ht="16.5" thickBot="1" x14ac:dyDescent="0.3">
      <c r="A62" s="4" t="s">
        <v>10</v>
      </c>
      <c r="B62" s="5" t="s">
        <v>32</v>
      </c>
      <c r="C62" s="149">
        <v>0.03</v>
      </c>
      <c r="D62" s="53">
        <f t="shared" si="0"/>
        <v>114.36</v>
      </c>
    </row>
    <row r="63" spans="1:4" ht="16.5" thickBot="1" x14ac:dyDescent="0.3">
      <c r="A63" s="4" t="s">
        <v>12</v>
      </c>
      <c r="B63" s="5" t="s">
        <v>33</v>
      </c>
      <c r="C63" s="9">
        <v>1.4999999999999999E-2</v>
      </c>
      <c r="D63" s="53">
        <f t="shared" si="0"/>
        <v>57.18</v>
      </c>
    </row>
    <row r="64" spans="1:4" ht="16.5" thickBot="1" x14ac:dyDescent="0.3">
      <c r="A64" s="4" t="s">
        <v>14</v>
      </c>
      <c r="B64" s="5" t="s">
        <v>34</v>
      </c>
      <c r="C64" s="9">
        <v>0.01</v>
      </c>
      <c r="D64" s="53">
        <f t="shared" si="0"/>
        <v>38.119999999999997</v>
      </c>
    </row>
    <row r="65" spans="1:5" ht="16.5" thickBot="1" x14ac:dyDescent="0.3">
      <c r="A65" s="4" t="s">
        <v>35</v>
      </c>
      <c r="B65" s="5" t="s">
        <v>36</v>
      </c>
      <c r="C65" s="9">
        <v>6.0000000000000001E-3</v>
      </c>
      <c r="D65" s="53">
        <f t="shared" si="0"/>
        <v>22.87</v>
      </c>
    </row>
    <row r="66" spans="1:5" ht="16.5" thickBot="1" x14ac:dyDescent="0.3">
      <c r="A66" s="4" t="s">
        <v>16</v>
      </c>
      <c r="B66" s="5" t="s">
        <v>37</v>
      </c>
      <c r="C66" s="9">
        <v>2E-3</v>
      </c>
      <c r="D66" s="53">
        <f t="shared" si="0"/>
        <v>7.62</v>
      </c>
    </row>
    <row r="67" spans="1:5" ht="16.5" thickBot="1" x14ac:dyDescent="0.3">
      <c r="A67" s="4" t="s">
        <v>38</v>
      </c>
      <c r="B67" s="5" t="s">
        <v>39</v>
      </c>
      <c r="C67" s="9">
        <v>0.08</v>
      </c>
      <c r="D67" s="53">
        <f t="shared" si="0"/>
        <v>304.95999999999998</v>
      </c>
    </row>
    <row r="68" spans="1:5" ht="16.5" thickBot="1" x14ac:dyDescent="0.3">
      <c r="A68" s="162" t="s">
        <v>40</v>
      </c>
      <c r="B68" s="163"/>
      <c r="C68" s="9">
        <f>SUM(C60:C67)</f>
        <v>0.36799999999999999</v>
      </c>
      <c r="D68" s="53">
        <f>SUM(D60:D67)</f>
        <v>1402.82</v>
      </c>
    </row>
    <row r="69" spans="1:5" hidden="1" x14ac:dyDescent="0.25">
      <c r="A69" s="2" t="s">
        <v>108</v>
      </c>
      <c r="B69" s="40"/>
      <c r="C69" s="44"/>
      <c r="D69" s="41"/>
    </row>
    <row r="70" spans="1:5" hidden="1" x14ac:dyDescent="0.25">
      <c r="A70" s="2" t="s">
        <v>109</v>
      </c>
      <c r="B70" s="40"/>
      <c r="C70" s="44"/>
      <c r="D70" s="41"/>
    </row>
    <row r="71" spans="1:5" hidden="1" x14ac:dyDescent="0.25">
      <c r="A71" s="2" t="s">
        <v>110</v>
      </c>
    </row>
    <row r="73" spans="1:5" x14ac:dyDescent="0.25">
      <c r="A73" s="161" t="s">
        <v>41</v>
      </c>
      <c r="B73" s="161"/>
      <c r="C73" s="161"/>
    </row>
    <row r="74" spans="1:5" ht="16.5" thickBot="1" x14ac:dyDescent="0.3"/>
    <row r="75" spans="1:5" ht="16.5" thickBot="1" x14ac:dyDescent="0.3">
      <c r="A75" s="3" t="s">
        <v>42</v>
      </c>
      <c r="B75" s="70" t="s">
        <v>43</v>
      </c>
      <c r="C75" s="70" t="s">
        <v>5</v>
      </c>
      <c r="D75" s="168" t="s">
        <v>214</v>
      </c>
      <c r="E75" s="169"/>
    </row>
    <row r="76" spans="1:5" ht="170.25" customHeight="1" thickBot="1" x14ac:dyDescent="0.3">
      <c r="A76" s="137" t="s">
        <v>6</v>
      </c>
      <c r="B76" s="138" t="s">
        <v>208</v>
      </c>
      <c r="C76" s="150"/>
      <c r="D76" s="170" t="s">
        <v>230</v>
      </c>
      <c r="E76" s="171"/>
    </row>
    <row r="77" spans="1:5" ht="16.5" thickBot="1" x14ac:dyDescent="0.3">
      <c r="A77" s="4" t="s">
        <v>8</v>
      </c>
      <c r="B77" s="5" t="s">
        <v>45</v>
      </c>
      <c r="C77" s="151"/>
    </row>
    <row r="78" spans="1:5" ht="16.5" thickBot="1" x14ac:dyDescent="0.3">
      <c r="A78" s="4" t="s">
        <v>10</v>
      </c>
      <c r="B78" s="140" t="s">
        <v>207</v>
      </c>
      <c r="C78" s="152"/>
      <c r="D78" s="136"/>
    </row>
    <row r="79" spans="1:5" ht="16.5" thickBot="1" x14ac:dyDescent="0.3">
      <c r="A79" s="4" t="s">
        <v>12</v>
      </c>
      <c r="B79" s="141" t="s">
        <v>17</v>
      </c>
      <c r="C79" s="153"/>
      <c r="D79" s="136"/>
    </row>
    <row r="80" spans="1:5" ht="16.5" hidden="1" thickBot="1" x14ac:dyDescent="0.3">
      <c r="A80" s="4" t="s">
        <v>14</v>
      </c>
      <c r="B80" s="139" t="s">
        <v>17</v>
      </c>
      <c r="C80" s="53"/>
    </row>
    <row r="81" spans="1:5" ht="16.5" hidden="1" thickBot="1" x14ac:dyDescent="0.3">
      <c r="A81" s="4" t="s">
        <v>35</v>
      </c>
      <c r="B81" s="11" t="s">
        <v>17</v>
      </c>
      <c r="C81" s="53"/>
    </row>
    <row r="82" spans="1:5" ht="16.5" hidden="1" thickBot="1" x14ac:dyDescent="0.3">
      <c r="A82" s="137" t="s">
        <v>16</v>
      </c>
      <c r="B82" s="11" t="s">
        <v>17</v>
      </c>
      <c r="C82" s="53"/>
    </row>
    <row r="83" spans="1:5" ht="16.5" thickBot="1" x14ac:dyDescent="0.3">
      <c r="A83" s="166" t="s">
        <v>18</v>
      </c>
      <c r="B83" s="167"/>
      <c r="C83" s="53">
        <f>SUM(C76:C82)</f>
        <v>0</v>
      </c>
      <c r="D83" s="60"/>
    </row>
    <row r="84" spans="1:5" hidden="1" x14ac:dyDescent="0.25">
      <c r="A84" s="2" t="s">
        <v>111</v>
      </c>
      <c r="B84" s="40"/>
      <c r="C84" s="41"/>
    </row>
    <row r="85" spans="1:5" hidden="1" x14ac:dyDescent="0.25">
      <c r="A85" s="2" t="s">
        <v>112</v>
      </c>
    </row>
    <row r="86" spans="1:5" hidden="1" x14ac:dyDescent="0.25">
      <c r="A86" s="2" t="s">
        <v>163</v>
      </c>
    </row>
    <row r="88" spans="1:5" x14ac:dyDescent="0.25">
      <c r="A88" s="161" t="s">
        <v>49</v>
      </c>
      <c r="B88" s="161"/>
      <c r="C88" s="161"/>
    </row>
    <row r="89" spans="1:5" ht="16.5" thickBot="1" x14ac:dyDescent="0.3"/>
    <row r="90" spans="1:5" ht="16.5" thickBot="1" x14ac:dyDescent="0.3">
      <c r="A90" s="3">
        <v>2</v>
      </c>
      <c r="B90" s="70" t="s">
        <v>50</v>
      </c>
      <c r="C90" s="70" t="s">
        <v>5</v>
      </c>
    </row>
    <row r="91" spans="1:5" ht="16.5" thickBot="1" x14ac:dyDescent="0.3">
      <c r="A91" s="4" t="s">
        <v>21</v>
      </c>
      <c r="B91" s="5" t="s">
        <v>22</v>
      </c>
      <c r="C91" s="53">
        <f>$C$52</f>
        <v>620.57000000000005</v>
      </c>
    </row>
    <row r="92" spans="1:5" ht="16.5" thickBot="1" x14ac:dyDescent="0.3">
      <c r="A92" s="4" t="s">
        <v>27</v>
      </c>
      <c r="B92" s="5" t="s">
        <v>28</v>
      </c>
      <c r="C92" s="53">
        <f>$D$68</f>
        <v>1402.82</v>
      </c>
    </row>
    <row r="93" spans="1:5" ht="16.5" thickBot="1" x14ac:dyDescent="0.3">
      <c r="A93" s="4" t="s">
        <v>42</v>
      </c>
      <c r="B93" s="5" t="s">
        <v>43</v>
      </c>
      <c r="C93" s="53">
        <f>$C$83</f>
        <v>0</v>
      </c>
    </row>
    <row r="94" spans="1:5" ht="16.5" thickBot="1" x14ac:dyDescent="0.3">
      <c r="A94" s="162" t="s">
        <v>18</v>
      </c>
      <c r="B94" s="163"/>
      <c r="C94" s="53">
        <f>SUM(C91:C93)</f>
        <v>2023.39</v>
      </c>
    </row>
    <row r="95" spans="1:5" x14ac:dyDescent="0.25">
      <c r="A95" s="12"/>
      <c r="E95" s="54"/>
    </row>
    <row r="96" spans="1:5" x14ac:dyDescent="0.25">
      <c r="E96" s="54"/>
    </row>
    <row r="97" spans="1:7" x14ac:dyDescent="0.25">
      <c r="A97" s="160" t="s">
        <v>51</v>
      </c>
      <c r="B97" s="160"/>
      <c r="C97" s="160"/>
      <c r="D97" s="59"/>
    </row>
    <row r="98" spans="1:7" ht="16.5" thickBot="1" x14ac:dyDescent="0.3">
      <c r="D98" s="60"/>
    </row>
    <row r="99" spans="1:7" ht="16.5" thickBot="1" x14ac:dyDescent="0.3">
      <c r="A99" s="3">
        <v>3</v>
      </c>
      <c r="B99" s="111" t="s">
        <v>52</v>
      </c>
      <c r="C99" s="142" t="s">
        <v>5</v>
      </c>
      <c r="D99" s="172" t="s">
        <v>232</v>
      </c>
      <c r="F99" s="54"/>
    </row>
    <row r="100" spans="1:7" ht="16.5" thickBot="1" x14ac:dyDescent="0.3">
      <c r="A100" s="4" t="s">
        <v>6</v>
      </c>
      <c r="B100" s="112" t="s">
        <v>215</v>
      </c>
      <c r="C100" s="154">
        <f>SUM(C101+C102)*0.5</f>
        <v>232.53</v>
      </c>
      <c r="D100" s="173"/>
      <c r="F100" s="54"/>
    </row>
    <row r="101" spans="1:7" ht="17.25" thickBot="1" x14ac:dyDescent="0.35">
      <c r="A101" s="113" t="s">
        <v>8</v>
      </c>
      <c r="B101" s="114" t="s">
        <v>219</v>
      </c>
      <c r="C101" s="143">
        <f>SUM(C41+C52+D67+C83)/12</f>
        <v>343.08</v>
      </c>
      <c r="D101" s="173"/>
      <c r="F101" s="54"/>
    </row>
    <row r="102" spans="1:7" ht="16.5" thickBot="1" x14ac:dyDescent="0.3">
      <c r="A102" s="115" t="s">
        <v>10</v>
      </c>
      <c r="B102" s="116" t="s">
        <v>148</v>
      </c>
      <c r="C102" s="144">
        <f>D67*0.4</f>
        <v>121.98</v>
      </c>
      <c r="D102" s="173"/>
      <c r="E102" s="54"/>
    </row>
    <row r="103" spans="1:7" ht="16.5" thickBot="1" x14ac:dyDescent="0.3">
      <c r="A103" s="109" t="s">
        <v>12</v>
      </c>
      <c r="B103" s="117" t="s">
        <v>216</v>
      </c>
      <c r="C103" s="154">
        <f>C104*0.5</f>
        <v>60.99</v>
      </c>
      <c r="D103" s="173"/>
    </row>
    <row r="104" spans="1:7" ht="35.25" customHeight="1" thickBot="1" x14ac:dyDescent="0.3">
      <c r="A104" s="118" t="s">
        <v>14</v>
      </c>
      <c r="B104" s="119" t="s">
        <v>149</v>
      </c>
      <c r="C104" s="145">
        <f>D67*0.4</f>
        <v>121.98</v>
      </c>
      <c r="D104" s="173"/>
    </row>
    <row r="105" spans="1:7" ht="62.25" customHeight="1" thickBot="1" x14ac:dyDescent="0.3">
      <c r="A105" s="166" t="s">
        <v>18</v>
      </c>
      <c r="B105" s="167"/>
      <c r="C105" s="146">
        <f>C100+C103</f>
        <v>293.52</v>
      </c>
      <c r="D105" s="174"/>
      <c r="G105" s="49"/>
    </row>
    <row r="108" spans="1:7" x14ac:dyDescent="0.25">
      <c r="A108" s="160" t="s">
        <v>57</v>
      </c>
      <c r="B108" s="160"/>
      <c r="C108" s="160"/>
    </row>
    <row r="109" spans="1:7" hidden="1" x14ac:dyDescent="0.25">
      <c r="A109" s="2" t="s">
        <v>113</v>
      </c>
    </row>
    <row r="111" spans="1:7" x14ac:dyDescent="0.25">
      <c r="A111" s="161" t="s">
        <v>114</v>
      </c>
      <c r="B111" s="161"/>
      <c r="C111" s="161"/>
    </row>
    <row r="112" spans="1:7" x14ac:dyDescent="0.25">
      <c r="A112" s="8"/>
    </row>
    <row r="113" spans="1:7" ht="16.5" thickBot="1" x14ac:dyDescent="0.3"/>
    <row r="114" spans="1:7" ht="18" thickBot="1" x14ac:dyDescent="0.4">
      <c r="A114" s="123" t="s">
        <v>58</v>
      </c>
      <c r="B114" s="121" t="s">
        <v>59</v>
      </c>
      <c r="C114" s="124" t="s">
        <v>220</v>
      </c>
      <c r="D114" s="110" t="s">
        <v>5</v>
      </c>
      <c r="E114" s="54"/>
      <c r="F114" s="54"/>
      <c r="G114" s="54"/>
    </row>
    <row r="115" spans="1:7" ht="17.25" thickBot="1" x14ac:dyDescent="0.35">
      <c r="A115" s="4" t="s">
        <v>6</v>
      </c>
      <c r="B115" s="5" t="s">
        <v>115</v>
      </c>
      <c r="C115" s="155">
        <v>30</v>
      </c>
      <c r="D115" s="122">
        <f>(C115*$B$122)/12</f>
        <v>459.03</v>
      </c>
    </row>
    <row r="116" spans="1:7" ht="17.25" thickBot="1" x14ac:dyDescent="0.35">
      <c r="A116" s="4" t="s">
        <v>8</v>
      </c>
      <c r="B116" s="5" t="s">
        <v>116</v>
      </c>
      <c r="C116" s="156">
        <v>0</v>
      </c>
      <c r="D116" s="122">
        <f t="shared" ref="D116:D120" si="1">(C116*$B$122)/12</f>
        <v>0</v>
      </c>
    </row>
    <row r="117" spans="1:7" ht="17.25" thickBot="1" x14ac:dyDescent="0.35">
      <c r="A117" s="4" t="s">
        <v>10</v>
      </c>
      <c r="B117" s="5" t="s">
        <v>117</v>
      </c>
      <c r="C117" s="156">
        <v>0</v>
      </c>
      <c r="D117" s="122">
        <f t="shared" si="1"/>
        <v>0</v>
      </c>
    </row>
    <row r="118" spans="1:7" ht="17.25" thickBot="1" x14ac:dyDescent="0.35">
      <c r="A118" s="4" t="s">
        <v>12</v>
      </c>
      <c r="B118" s="5" t="s">
        <v>118</v>
      </c>
      <c r="C118" s="156">
        <v>0</v>
      </c>
      <c r="D118" s="122">
        <f t="shared" si="1"/>
        <v>0</v>
      </c>
    </row>
    <row r="119" spans="1:7" ht="17.25" customHeight="1" thickBot="1" x14ac:dyDescent="0.35">
      <c r="A119" s="4" t="s">
        <v>14</v>
      </c>
      <c r="B119" s="5" t="s">
        <v>119</v>
      </c>
      <c r="C119" s="156">
        <v>0</v>
      </c>
      <c r="D119" s="122">
        <f t="shared" si="1"/>
        <v>0</v>
      </c>
    </row>
    <row r="120" spans="1:7" ht="17.25" thickBot="1" x14ac:dyDescent="0.35">
      <c r="A120" s="4" t="s">
        <v>35</v>
      </c>
      <c r="B120" s="5" t="s">
        <v>209</v>
      </c>
      <c r="C120" s="156">
        <v>0</v>
      </c>
      <c r="D120" s="122">
        <f t="shared" si="1"/>
        <v>0</v>
      </c>
    </row>
    <row r="121" spans="1:7" ht="17.25" thickBot="1" x14ac:dyDescent="0.35">
      <c r="A121" s="108" t="s">
        <v>40</v>
      </c>
      <c r="B121" s="70"/>
      <c r="C121" s="120"/>
      <c r="D121" s="53">
        <f>SUM(D115:D120)</f>
        <v>459.03</v>
      </c>
    </row>
    <row r="122" spans="1:7" ht="48" thickBot="1" x14ac:dyDescent="0.3">
      <c r="A122" s="125" t="s">
        <v>221</v>
      </c>
      <c r="B122" s="127">
        <f>SUM(C41+C94+C105)/30</f>
        <v>183.61</v>
      </c>
    </row>
    <row r="123" spans="1:7" x14ac:dyDescent="0.25">
      <c r="A123" s="54"/>
    </row>
    <row r="124" spans="1:7" x14ac:dyDescent="0.25">
      <c r="A124" s="161" t="s">
        <v>120</v>
      </c>
      <c r="B124" s="161"/>
      <c r="C124" s="161"/>
    </row>
    <row r="125" spans="1:7" ht="16.5" thickBot="1" x14ac:dyDescent="0.3">
      <c r="A125" s="8"/>
    </row>
    <row r="126" spans="1:7" ht="16.5" thickBot="1" x14ac:dyDescent="0.3">
      <c r="A126" s="3" t="s">
        <v>60</v>
      </c>
      <c r="B126" s="70" t="s">
        <v>61</v>
      </c>
      <c r="C126" s="77" t="s">
        <v>5</v>
      </c>
    </row>
    <row r="127" spans="1:7" ht="16.5" thickBot="1" x14ac:dyDescent="0.3">
      <c r="A127" s="4" t="s">
        <v>6</v>
      </c>
      <c r="B127" s="76" t="s">
        <v>121</v>
      </c>
      <c r="C127" s="147">
        <v>0</v>
      </c>
    </row>
    <row r="128" spans="1:7" ht="16.5" thickBot="1" x14ac:dyDescent="0.3">
      <c r="A128" s="162" t="s">
        <v>18</v>
      </c>
      <c r="B128" s="163"/>
      <c r="C128" s="7"/>
    </row>
    <row r="131" spans="1:3" x14ac:dyDescent="0.25">
      <c r="A131" s="161" t="s">
        <v>62</v>
      </c>
      <c r="B131" s="161"/>
      <c r="C131" s="161"/>
    </row>
    <row r="132" spans="1:3" ht="16.5" thickBot="1" x14ac:dyDescent="0.3">
      <c r="A132" s="8"/>
    </row>
    <row r="133" spans="1:3" ht="16.5" thickBot="1" x14ac:dyDescent="0.3">
      <c r="A133" s="3">
        <v>4</v>
      </c>
      <c r="B133" s="70" t="s">
        <v>63</v>
      </c>
      <c r="C133" s="70" t="s">
        <v>5</v>
      </c>
    </row>
    <row r="134" spans="1:3" ht="16.5" thickBot="1" x14ac:dyDescent="0.3">
      <c r="A134" s="4" t="s">
        <v>58</v>
      </c>
      <c r="B134" s="5" t="s">
        <v>122</v>
      </c>
      <c r="C134" s="53">
        <f>D121</f>
        <v>459.03</v>
      </c>
    </row>
    <row r="135" spans="1:3" ht="16.5" thickBot="1" x14ac:dyDescent="0.3">
      <c r="A135" s="4" t="s">
        <v>60</v>
      </c>
      <c r="B135" s="5" t="s">
        <v>123</v>
      </c>
      <c r="C135" s="55">
        <f>C127</f>
        <v>0</v>
      </c>
    </row>
    <row r="136" spans="1:3" ht="16.5" thickBot="1" x14ac:dyDescent="0.3">
      <c r="A136" s="162" t="s">
        <v>18</v>
      </c>
      <c r="B136" s="163"/>
      <c r="C136" s="53">
        <f>SUM(C134:C135)</f>
        <v>459.03</v>
      </c>
    </row>
    <row r="139" spans="1:3" x14ac:dyDescent="0.25">
      <c r="A139" s="160" t="s">
        <v>64</v>
      </c>
      <c r="B139" s="160"/>
      <c r="C139" s="160"/>
    </row>
    <row r="140" spans="1:3" ht="16.5" thickBot="1" x14ac:dyDescent="0.3"/>
    <row r="141" spans="1:3" ht="16.5" thickBot="1" x14ac:dyDescent="0.3">
      <c r="A141" s="3">
        <v>5</v>
      </c>
      <c r="B141" s="14" t="s">
        <v>65</v>
      </c>
      <c r="C141" s="70" t="s">
        <v>5</v>
      </c>
    </row>
    <row r="142" spans="1:3" ht="16.5" thickBot="1" x14ac:dyDescent="0.3">
      <c r="A142" s="4" t="s">
        <v>6</v>
      </c>
      <c r="B142" s="5" t="s">
        <v>66</v>
      </c>
      <c r="C142" s="151">
        <f>Uniformes!G7</f>
        <v>23.6</v>
      </c>
    </row>
    <row r="143" spans="1:3" ht="16.5" thickBot="1" x14ac:dyDescent="0.3">
      <c r="A143" s="4" t="s">
        <v>8</v>
      </c>
      <c r="B143" s="5" t="s">
        <v>67</v>
      </c>
      <c r="C143" s="151"/>
    </row>
    <row r="144" spans="1:3" ht="16.5" thickBot="1" x14ac:dyDescent="0.3">
      <c r="A144" s="4" t="s">
        <v>10</v>
      </c>
      <c r="B144" s="5" t="s">
        <v>212</v>
      </c>
      <c r="C144" s="151"/>
    </row>
    <row r="145" spans="1:7" ht="16.5" thickBot="1" x14ac:dyDescent="0.3">
      <c r="A145" s="4" t="s">
        <v>8</v>
      </c>
      <c r="B145" s="5" t="s">
        <v>17</v>
      </c>
      <c r="C145" s="151"/>
    </row>
    <row r="146" spans="1:7" ht="16.5" thickBot="1" x14ac:dyDescent="0.3">
      <c r="A146" s="162" t="s">
        <v>40</v>
      </c>
      <c r="B146" s="163"/>
      <c r="C146" s="53">
        <f>SUM(C142:C145)</f>
        <v>23.6</v>
      </c>
    </row>
    <row r="147" spans="1:7" x14ac:dyDescent="0.25">
      <c r="A147" s="2" t="s">
        <v>124</v>
      </c>
    </row>
    <row r="149" spans="1:7" x14ac:dyDescent="0.25">
      <c r="A149" s="160" t="s">
        <v>68</v>
      </c>
      <c r="B149" s="160"/>
      <c r="C149" s="160"/>
    </row>
    <row r="150" spans="1:7" ht="16.5" thickBot="1" x14ac:dyDescent="0.3"/>
    <row r="151" spans="1:7" ht="16.5" thickBot="1" x14ac:dyDescent="0.3">
      <c r="A151" s="3">
        <v>6</v>
      </c>
      <c r="B151" s="14" t="s">
        <v>69</v>
      </c>
      <c r="C151" s="70" t="s">
        <v>29</v>
      </c>
      <c r="D151" s="70" t="s">
        <v>5</v>
      </c>
    </row>
    <row r="152" spans="1:7" ht="16.5" thickBot="1" x14ac:dyDescent="0.3">
      <c r="A152" s="4" t="s">
        <v>6</v>
      </c>
      <c r="B152" s="5" t="s">
        <v>70</v>
      </c>
      <c r="C152" s="149">
        <v>0.06</v>
      </c>
      <c r="D152" s="69">
        <f>C170*C152</f>
        <v>359.46</v>
      </c>
    </row>
    <row r="153" spans="1:7" ht="16.5" thickBot="1" x14ac:dyDescent="0.3">
      <c r="A153" s="4" t="s">
        <v>8</v>
      </c>
      <c r="B153" s="5" t="s">
        <v>71</v>
      </c>
      <c r="C153" s="149">
        <v>6.7900000000000002E-2</v>
      </c>
      <c r="D153" s="69">
        <f>($C$170+$D$152)/(1-$C$153-$C$155-$C$156-$C$157)*C153</f>
        <v>509.93</v>
      </c>
    </row>
    <row r="154" spans="1:7" ht="16.5" thickBot="1" x14ac:dyDescent="0.3">
      <c r="A154" s="4" t="s">
        <v>10</v>
      </c>
      <c r="B154" s="5" t="s">
        <v>72</v>
      </c>
      <c r="C154" s="9">
        <f>SUM(C155:C157)</f>
        <v>8.6499999999999994E-2</v>
      </c>
      <c r="D154" s="69"/>
    </row>
    <row r="155" spans="1:7" ht="16.5" thickBot="1" x14ac:dyDescent="0.3">
      <c r="A155" s="4"/>
      <c r="B155" s="5" t="s">
        <v>146</v>
      </c>
      <c r="C155" s="157">
        <v>3.6499999999999998E-2</v>
      </c>
      <c r="D155" s="69">
        <f t="shared" ref="D155:D157" si="2">($C$170+$D$152)/(1-$C$153-$C$155-$C$156-$C$157)*C155</f>
        <v>274.12</v>
      </c>
      <c r="E155" s="54"/>
      <c r="F155" s="54"/>
      <c r="G155" s="54"/>
    </row>
    <row r="156" spans="1:7" ht="16.5" thickBot="1" x14ac:dyDescent="0.3">
      <c r="A156" s="4"/>
      <c r="B156" s="5" t="s">
        <v>73</v>
      </c>
      <c r="C156" s="157"/>
      <c r="D156" s="69">
        <f t="shared" si="2"/>
        <v>0</v>
      </c>
      <c r="E156" s="54"/>
      <c r="F156" s="54"/>
    </row>
    <row r="157" spans="1:7" ht="16.5" thickBot="1" x14ac:dyDescent="0.3">
      <c r="A157" s="4"/>
      <c r="B157" s="5" t="s">
        <v>74</v>
      </c>
      <c r="C157" s="149">
        <v>0.05</v>
      </c>
      <c r="D157" s="69">
        <f t="shared" si="2"/>
        <v>375.5</v>
      </c>
    </row>
    <row r="158" spans="1:7" ht="17.25" thickBot="1" x14ac:dyDescent="0.35">
      <c r="A158" s="162" t="s">
        <v>40</v>
      </c>
      <c r="B158" s="163"/>
      <c r="C158" s="129">
        <f>((1+$C$152)/(1-$C$154-$C$153))-1</f>
        <v>0.25355</v>
      </c>
      <c r="D158" s="55">
        <f>SUM(D152:D157)</f>
        <v>1519.01</v>
      </c>
      <c r="F158" s="54"/>
    </row>
    <row r="159" spans="1:7" hidden="1" x14ac:dyDescent="0.25">
      <c r="A159" s="2" t="s">
        <v>125</v>
      </c>
      <c r="B159" s="40"/>
      <c r="C159" s="43"/>
      <c r="D159" s="47"/>
    </row>
    <row r="160" spans="1:7" hidden="1" x14ac:dyDescent="0.25">
      <c r="A160" s="2" t="s">
        <v>126</v>
      </c>
    </row>
    <row r="162" spans="1:6" x14ac:dyDescent="0.25">
      <c r="A162" s="160" t="s">
        <v>75</v>
      </c>
      <c r="B162" s="160"/>
      <c r="C162" s="160"/>
      <c r="E162" s="128"/>
    </row>
    <row r="163" spans="1:6" ht="16.5" thickBot="1" x14ac:dyDescent="0.3"/>
    <row r="164" spans="1:6" ht="30.75" customHeight="1" thickBot="1" x14ac:dyDescent="0.3">
      <c r="A164" s="3"/>
      <c r="B164" s="70" t="s">
        <v>76</v>
      </c>
      <c r="C164" s="70" t="s">
        <v>5</v>
      </c>
    </row>
    <row r="165" spans="1:6" ht="16.5" thickBot="1" x14ac:dyDescent="0.3">
      <c r="A165" s="68" t="s">
        <v>6</v>
      </c>
      <c r="B165" s="5" t="s">
        <v>3</v>
      </c>
      <c r="C165" s="63">
        <f>C41</f>
        <v>3191.48</v>
      </c>
    </row>
    <row r="166" spans="1:6" ht="16.5" thickBot="1" x14ac:dyDescent="0.3">
      <c r="A166" s="68" t="s">
        <v>8</v>
      </c>
      <c r="B166" s="5" t="s">
        <v>19</v>
      </c>
      <c r="C166" s="63">
        <f>C94</f>
        <v>2023.39</v>
      </c>
    </row>
    <row r="167" spans="1:6" ht="16.5" thickBot="1" x14ac:dyDescent="0.3">
      <c r="A167" s="68" t="s">
        <v>10</v>
      </c>
      <c r="B167" s="5" t="s">
        <v>51</v>
      </c>
      <c r="C167" s="64">
        <f>C105</f>
        <v>293.52</v>
      </c>
    </row>
    <row r="168" spans="1:6" ht="16.5" thickBot="1" x14ac:dyDescent="0.3">
      <c r="A168" s="68" t="s">
        <v>12</v>
      </c>
      <c r="B168" s="5" t="s">
        <v>57</v>
      </c>
      <c r="C168" s="63">
        <f>C136</f>
        <v>459.03</v>
      </c>
    </row>
    <row r="169" spans="1:6" ht="16.5" thickBot="1" x14ac:dyDescent="0.3">
      <c r="A169" s="68" t="s">
        <v>14</v>
      </c>
      <c r="B169" s="5" t="s">
        <v>64</v>
      </c>
      <c r="C169" s="63">
        <f>C146</f>
        <v>23.6</v>
      </c>
    </row>
    <row r="170" spans="1:6" ht="16.5" thickBot="1" x14ac:dyDescent="0.3">
      <c r="A170" s="162" t="s">
        <v>77</v>
      </c>
      <c r="B170" s="163"/>
      <c r="C170" s="63">
        <f>SUM(C165:C169)</f>
        <v>5991.02</v>
      </c>
    </row>
    <row r="171" spans="1:6" ht="16.5" thickBot="1" x14ac:dyDescent="0.3">
      <c r="A171" s="68" t="s">
        <v>35</v>
      </c>
      <c r="B171" s="5" t="s">
        <v>78</v>
      </c>
      <c r="C171" s="64">
        <f>D158</f>
        <v>1519.01</v>
      </c>
    </row>
    <row r="172" spans="1:6" ht="16.5" thickBot="1" x14ac:dyDescent="0.3">
      <c r="A172" s="162" t="s">
        <v>79</v>
      </c>
      <c r="B172" s="163"/>
      <c r="C172" s="126">
        <f>C171+C170</f>
        <v>7510.03</v>
      </c>
      <c r="D172" s="49"/>
      <c r="E172" s="49"/>
      <c r="F172" s="49"/>
    </row>
    <row r="173" spans="1:6" x14ac:dyDescent="0.25">
      <c r="D173" s="48"/>
      <c r="E173" s="48"/>
      <c r="F173" s="48"/>
    </row>
    <row r="175" spans="1:6" x14ac:dyDescent="0.25">
      <c r="A175" s="160" t="s">
        <v>127</v>
      </c>
      <c r="B175" s="160"/>
      <c r="C175" s="160"/>
    </row>
    <row r="176" spans="1:6" ht="16.5" thickBot="1" x14ac:dyDescent="0.3"/>
    <row r="177" spans="1:7" ht="63.75" thickBot="1" x14ac:dyDescent="0.3">
      <c r="A177" s="162" t="s">
        <v>128</v>
      </c>
      <c r="B177" s="163"/>
      <c r="C177" s="70" t="s">
        <v>130</v>
      </c>
      <c r="D177" s="70" t="s">
        <v>131</v>
      </c>
      <c r="E177" s="70" t="s">
        <v>132</v>
      </c>
      <c r="F177" s="70" t="s">
        <v>133</v>
      </c>
      <c r="G177" s="70" t="s">
        <v>134</v>
      </c>
    </row>
    <row r="178" spans="1:7" ht="16.5" thickBot="1" x14ac:dyDescent="0.3">
      <c r="A178" s="68" t="s">
        <v>129</v>
      </c>
      <c r="B178" s="5" t="s">
        <v>218</v>
      </c>
      <c r="C178" s="63">
        <f>C172</f>
        <v>7510.03</v>
      </c>
      <c r="D178" s="15">
        <v>1</v>
      </c>
      <c r="E178" s="63">
        <f>D178*C178</f>
        <v>7510.03</v>
      </c>
      <c r="F178" s="15">
        <v>1</v>
      </c>
      <c r="G178" s="63">
        <f>F178*E178</f>
        <v>7510.03</v>
      </c>
    </row>
    <row r="179" spans="1:7" ht="16.5" thickBot="1" x14ac:dyDescent="0.3">
      <c r="A179" s="68"/>
      <c r="B179" s="5"/>
      <c r="C179" s="15"/>
      <c r="D179" s="15"/>
      <c r="E179" s="15"/>
      <c r="F179" s="15"/>
      <c r="G179" s="15"/>
    </row>
    <row r="181" spans="1:7" x14ac:dyDescent="0.25">
      <c r="A181" s="160" t="s">
        <v>135</v>
      </c>
      <c r="B181" s="160"/>
      <c r="C181" s="160"/>
    </row>
    <row r="182" spans="1:7" ht="16.5" thickBot="1" x14ac:dyDescent="0.3"/>
    <row r="183" spans="1:7" ht="16.5" thickBot="1" x14ac:dyDescent="0.3">
      <c r="A183" s="3"/>
      <c r="B183" s="70" t="s">
        <v>136</v>
      </c>
      <c r="C183" s="70" t="s">
        <v>5</v>
      </c>
    </row>
    <row r="184" spans="1:7" ht="16.5" thickBot="1" x14ac:dyDescent="0.3">
      <c r="A184" s="68" t="s">
        <v>6</v>
      </c>
      <c r="B184" s="5" t="s">
        <v>137</v>
      </c>
      <c r="C184" s="63">
        <f>E178</f>
        <v>7510.03</v>
      </c>
    </row>
    <row r="185" spans="1:7" ht="16.5" thickBot="1" x14ac:dyDescent="0.3">
      <c r="A185" s="68" t="s">
        <v>8</v>
      </c>
      <c r="B185" s="5" t="s">
        <v>138</v>
      </c>
      <c r="C185" s="63">
        <f>G178</f>
        <v>7510.03</v>
      </c>
    </row>
    <row r="186" spans="1:7" ht="32.25" thickBot="1" x14ac:dyDescent="0.3">
      <c r="A186" s="68" t="s">
        <v>10</v>
      </c>
      <c r="B186" s="5" t="s">
        <v>139</v>
      </c>
      <c r="C186" s="64">
        <f>C185*12</f>
        <v>90120.36</v>
      </c>
    </row>
    <row r="187" spans="1:7" x14ac:dyDescent="0.25">
      <c r="A187" s="2" t="s">
        <v>140</v>
      </c>
    </row>
  </sheetData>
  <mergeCells count="32">
    <mergeCell ref="A88:C88"/>
    <mergeCell ref="A31:C31"/>
    <mergeCell ref="A41:B41"/>
    <mergeCell ref="A44:C44"/>
    <mergeCell ref="A46:C46"/>
    <mergeCell ref="A52:B52"/>
    <mergeCell ref="A57:D57"/>
    <mergeCell ref="A68:B68"/>
    <mergeCell ref="A73:C73"/>
    <mergeCell ref="D75:E75"/>
    <mergeCell ref="D76:E76"/>
    <mergeCell ref="A83:B83"/>
    <mergeCell ref="A146:B146"/>
    <mergeCell ref="A94:B94"/>
    <mergeCell ref="A97:C97"/>
    <mergeCell ref="D99:D105"/>
    <mergeCell ref="A105:B105"/>
    <mergeCell ref="A108:C108"/>
    <mergeCell ref="A111:C111"/>
    <mergeCell ref="A124:C124"/>
    <mergeCell ref="A128:B128"/>
    <mergeCell ref="A131:C131"/>
    <mergeCell ref="A136:B136"/>
    <mergeCell ref="A139:C139"/>
    <mergeCell ref="A177:B177"/>
    <mergeCell ref="A181:C181"/>
    <mergeCell ref="A149:C149"/>
    <mergeCell ref="A158:B158"/>
    <mergeCell ref="A162:C162"/>
    <mergeCell ref="A170:B170"/>
    <mergeCell ref="A172:B172"/>
    <mergeCell ref="A175:C175"/>
  </mergeCells>
  <pageMargins left="0.511811024" right="0.511811024" top="0.78740157499999996" bottom="0.78740157499999996" header="0.31496062000000002" footer="0.31496062000000002"/>
  <pageSetup paperSize="9" scale="4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BF2AB-B56A-4120-98A1-1FCF1F2308DC}">
  <sheetPr>
    <pageSetUpPr fitToPage="1"/>
  </sheetPr>
  <dimension ref="A1:B65"/>
  <sheetViews>
    <sheetView topLeftCell="A32" workbookViewId="0">
      <selection activeCell="F54" sqref="F54"/>
    </sheetView>
  </sheetViews>
  <sheetFormatPr defaultRowHeight="15" x14ac:dyDescent="0.25"/>
  <cols>
    <col min="1" max="1" width="80.7109375" customWidth="1"/>
    <col min="2" max="2" width="29.42578125" customWidth="1"/>
    <col min="3" max="3" width="24.42578125" customWidth="1"/>
  </cols>
  <sheetData>
    <row r="1" spans="1:2" x14ac:dyDescent="0.25">
      <c r="A1" s="98" t="s">
        <v>152</v>
      </c>
    </row>
    <row r="2" spans="1:2" x14ac:dyDescent="0.25">
      <c r="A2" s="99" t="s">
        <v>150</v>
      </c>
    </row>
    <row r="3" spans="1:2" ht="45" x14ac:dyDescent="0.25">
      <c r="A3" s="100" t="s">
        <v>213</v>
      </c>
    </row>
    <row r="4" spans="1:2" x14ac:dyDescent="0.25">
      <c r="A4" s="86" t="s">
        <v>151</v>
      </c>
    </row>
    <row r="5" spans="1:2" x14ac:dyDescent="0.25">
      <c r="A5" s="86" t="s">
        <v>182</v>
      </c>
    </row>
    <row r="6" spans="1:2" x14ac:dyDescent="0.25">
      <c r="A6" s="86" t="s">
        <v>183</v>
      </c>
    </row>
    <row r="7" spans="1:2" ht="30" x14ac:dyDescent="0.25">
      <c r="A7" s="95" t="s">
        <v>153</v>
      </c>
    </row>
    <row r="8" spans="1:2" x14ac:dyDescent="0.25">
      <c r="A8" s="86" t="s">
        <v>154</v>
      </c>
    </row>
    <row r="9" spans="1:2" ht="15.75" thickBot="1" x14ac:dyDescent="0.3">
      <c r="A9" s="101"/>
    </row>
    <row r="10" spans="1:2" ht="240.75" thickBot="1" x14ac:dyDescent="0.3">
      <c r="A10" s="135" t="s">
        <v>222</v>
      </c>
      <c r="B10" s="134" t="s">
        <v>253</v>
      </c>
    </row>
    <row r="11" spans="1:2" x14ac:dyDescent="0.25">
      <c r="A11" s="96" t="s">
        <v>189</v>
      </c>
    </row>
    <row r="12" spans="1:2" x14ac:dyDescent="0.25">
      <c r="A12" s="97" t="s">
        <v>20</v>
      </c>
    </row>
    <row r="13" spans="1:2" x14ac:dyDescent="0.25">
      <c r="A13" s="86" t="s">
        <v>254</v>
      </c>
    </row>
    <row r="14" spans="1:2" x14ac:dyDescent="0.25">
      <c r="A14" s="86" t="s">
        <v>255</v>
      </c>
    </row>
    <row r="15" spans="1:2" x14ac:dyDescent="0.25">
      <c r="A15" s="86" t="s">
        <v>223</v>
      </c>
    </row>
    <row r="16" spans="1:2" x14ac:dyDescent="0.25">
      <c r="A16" s="94" t="s">
        <v>224</v>
      </c>
    </row>
    <row r="17" spans="1:2" x14ac:dyDescent="0.25">
      <c r="A17" s="97" t="s">
        <v>190</v>
      </c>
    </row>
    <row r="18" spans="1:2" ht="30" x14ac:dyDescent="0.25">
      <c r="A18" s="95" t="s">
        <v>258</v>
      </c>
    </row>
    <row r="19" spans="1:2" x14ac:dyDescent="0.25">
      <c r="A19" s="86" t="s">
        <v>256</v>
      </c>
    </row>
    <row r="20" spans="1:2" x14ac:dyDescent="0.25">
      <c r="A20" s="86" t="s">
        <v>225</v>
      </c>
    </row>
    <row r="21" spans="1:2" x14ac:dyDescent="0.25">
      <c r="A21" s="94" t="s">
        <v>226</v>
      </c>
    </row>
    <row r="22" spans="1:2" x14ac:dyDescent="0.25">
      <c r="A22" s="97" t="s">
        <v>191</v>
      </c>
    </row>
    <row r="23" spans="1:2" ht="30" x14ac:dyDescent="0.25">
      <c r="A23" s="95" t="s">
        <v>192</v>
      </c>
    </row>
    <row r="24" spans="1:2" x14ac:dyDescent="0.25">
      <c r="A24" s="86" t="s">
        <v>193</v>
      </c>
    </row>
    <row r="25" spans="1:2" x14ac:dyDescent="0.25">
      <c r="A25" s="86" t="s">
        <v>227</v>
      </c>
    </row>
    <row r="26" spans="1:2" ht="30" x14ac:dyDescent="0.25">
      <c r="A26" s="95" t="s">
        <v>228</v>
      </c>
    </row>
    <row r="27" spans="1:2" x14ac:dyDescent="0.25">
      <c r="A27" s="94" t="s">
        <v>229</v>
      </c>
    </row>
    <row r="28" spans="1:2" ht="15.75" thickBot="1" x14ac:dyDescent="0.3">
      <c r="A28" s="93" t="s">
        <v>231</v>
      </c>
    </row>
    <row r="29" spans="1:2" x14ac:dyDescent="0.25">
      <c r="A29" s="130" t="s">
        <v>194</v>
      </c>
      <c r="B29" s="175" t="s">
        <v>233</v>
      </c>
    </row>
    <row r="30" spans="1:2" x14ac:dyDescent="0.25">
      <c r="A30" s="130" t="s">
        <v>195</v>
      </c>
      <c r="B30" s="176"/>
    </row>
    <row r="31" spans="1:2" ht="30" customHeight="1" x14ac:dyDescent="0.25">
      <c r="A31" s="131" t="s">
        <v>196</v>
      </c>
      <c r="B31" s="176"/>
    </row>
    <row r="32" spans="1:2" x14ac:dyDescent="0.25">
      <c r="A32" s="132" t="s">
        <v>234</v>
      </c>
      <c r="B32" s="176"/>
    </row>
    <row r="33" spans="1:2" x14ac:dyDescent="0.25">
      <c r="A33" s="132" t="s">
        <v>235</v>
      </c>
      <c r="B33" s="176"/>
    </row>
    <row r="34" spans="1:2" x14ac:dyDescent="0.25">
      <c r="A34" s="132" t="s">
        <v>236</v>
      </c>
      <c r="B34" s="176"/>
    </row>
    <row r="35" spans="1:2" x14ac:dyDescent="0.25">
      <c r="A35" s="132" t="s">
        <v>237</v>
      </c>
      <c r="B35" s="176"/>
    </row>
    <row r="36" spans="1:2" x14ac:dyDescent="0.25">
      <c r="A36" s="132" t="s">
        <v>238</v>
      </c>
      <c r="B36" s="176"/>
    </row>
    <row r="37" spans="1:2" x14ac:dyDescent="0.25">
      <c r="A37" s="132" t="s">
        <v>239</v>
      </c>
      <c r="B37" s="176"/>
    </row>
    <row r="38" spans="1:2" x14ac:dyDescent="0.25">
      <c r="A38" s="132" t="s">
        <v>242</v>
      </c>
      <c r="B38" s="176"/>
    </row>
    <row r="39" spans="1:2" x14ac:dyDescent="0.25">
      <c r="A39" s="132" t="s">
        <v>240</v>
      </c>
      <c r="B39" s="176"/>
    </row>
    <row r="40" spans="1:2" ht="30" x14ac:dyDescent="0.25">
      <c r="A40" s="131" t="s">
        <v>197</v>
      </c>
      <c r="B40" s="176"/>
    </row>
    <row r="41" spans="1:2" x14ac:dyDescent="0.25">
      <c r="A41" s="132" t="s">
        <v>241</v>
      </c>
      <c r="B41" s="176"/>
    </row>
    <row r="42" spans="1:2" x14ac:dyDescent="0.25">
      <c r="A42" s="130" t="s">
        <v>198</v>
      </c>
      <c r="B42" s="176"/>
    </row>
    <row r="43" spans="1:2" ht="30" x14ac:dyDescent="0.25">
      <c r="A43" s="131" t="s">
        <v>199</v>
      </c>
      <c r="B43" s="176"/>
    </row>
    <row r="44" spans="1:2" x14ac:dyDescent="0.25">
      <c r="A44" s="132" t="s">
        <v>200</v>
      </c>
      <c r="B44" s="176"/>
    </row>
    <row r="45" spans="1:2" x14ac:dyDescent="0.25">
      <c r="A45" s="132" t="s">
        <v>243</v>
      </c>
      <c r="B45" s="176"/>
    </row>
    <row r="46" spans="1:2" ht="30" x14ac:dyDescent="0.25">
      <c r="A46" s="131" t="s">
        <v>201</v>
      </c>
      <c r="B46" s="176"/>
    </row>
    <row r="47" spans="1:2" x14ac:dyDescent="0.25">
      <c r="A47" s="132" t="s">
        <v>244</v>
      </c>
      <c r="B47" s="176"/>
    </row>
    <row r="48" spans="1:2" ht="30" x14ac:dyDescent="0.25">
      <c r="A48" s="131" t="s">
        <v>202</v>
      </c>
      <c r="B48" s="176"/>
    </row>
    <row r="49" spans="1:2" ht="15.75" thickBot="1" x14ac:dyDescent="0.3">
      <c r="A49" s="133" t="s">
        <v>245</v>
      </c>
      <c r="B49" s="177"/>
    </row>
    <row r="50" spans="1:2" x14ac:dyDescent="0.25">
      <c r="A50" s="86" t="s">
        <v>203</v>
      </c>
    </row>
    <row r="51" spans="1:2" x14ac:dyDescent="0.25">
      <c r="A51" s="86" t="s">
        <v>204</v>
      </c>
    </row>
    <row r="52" spans="1:2" x14ac:dyDescent="0.25">
      <c r="A52" s="86" t="s">
        <v>234</v>
      </c>
    </row>
    <row r="53" spans="1:2" x14ac:dyDescent="0.25">
      <c r="A53" s="86" t="s">
        <v>246</v>
      </c>
    </row>
    <row r="54" spans="1:2" x14ac:dyDescent="0.25">
      <c r="A54" s="86" t="s">
        <v>247</v>
      </c>
    </row>
    <row r="55" spans="1:2" x14ac:dyDescent="0.25">
      <c r="A55" s="86" t="s">
        <v>248</v>
      </c>
    </row>
    <row r="56" spans="1:2" x14ac:dyDescent="0.25">
      <c r="A56" s="86" t="s">
        <v>249</v>
      </c>
    </row>
    <row r="57" spans="1:2" ht="30" x14ac:dyDescent="0.25">
      <c r="A57" s="95" t="s">
        <v>217</v>
      </c>
    </row>
    <row r="58" spans="1:2" x14ac:dyDescent="0.25">
      <c r="A58" s="86" t="s">
        <v>250</v>
      </c>
    </row>
    <row r="59" spans="1:2" x14ac:dyDescent="0.25">
      <c r="A59" s="93" t="s">
        <v>251</v>
      </c>
    </row>
    <row r="60" spans="1:2" x14ac:dyDescent="0.25">
      <c r="A60" s="86" t="s">
        <v>205</v>
      </c>
    </row>
    <row r="61" spans="1:2" x14ac:dyDescent="0.25">
      <c r="A61" s="93" t="s">
        <v>210</v>
      </c>
    </row>
    <row r="62" spans="1:2" x14ac:dyDescent="0.25">
      <c r="A62" s="86" t="s">
        <v>206</v>
      </c>
    </row>
    <row r="63" spans="1:2" ht="90" x14ac:dyDescent="0.25">
      <c r="A63" s="95" t="s">
        <v>259</v>
      </c>
    </row>
    <row r="64" spans="1:2" x14ac:dyDescent="0.25">
      <c r="A64" s="93" t="s">
        <v>252</v>
      </c>
    </row>
    <row r="65" spans="1:1" x14ac:dyDescent="0.25">
      <c r="A65" s="86" t="s">
        <v>257</v>
      </c>
    </row>
  </sheetData>
  <mergeCells count="1">
    <mergeCell ref="B29:B49"/>
  </mergeCells>
  <pageMargins left="0.511811024" right="0.511811024" top="0.78740157499999996" bottom="0.78740157499999996" header="0.31496062000000002" footer="0.31496062000000002"/>
  <pageSetup paperSize="9" scale="4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A37D4-450B-4BD9-8AF5-91F3E40417B5}">
  <dimension ref="A1:I7"/>
  <sheetViews>
    <sheetView topLeftCell="A4" workbookViewId="0">
      <selection activeCell="F3" sqref="F3:F5"/>
    </sheetView>
  </sheetViews>
  <sheetFormatPr defaultRowHeight="15" x14ac:dyDescent="0.25"/>
  <cols>
    <col min="1" max="1" width="21.7109375" customWidth="1"/>
    <col min="3" max="5" width="9.140625" customWidth="1"/>
    <col min="6" max="6" width="17.140625" customWidth="1"/>
    <col min="7" max="7" width="15.140625" bestFit="1" customWidth="1"/>
  </cols>
  <sheetData>
    <row r="1" spans="1:9" x14ac:dyDescent="0.25">
      <c r="A1" s="178" t="s">
        <v>188</v>
      </c>
      <c r="B1" s="179"/>
      <c r="C1" s="179"/>
      <c r="D1" s="179"/>
      <c r="E1" s="179"/>
      <c r="F1" s="179"/>
      <c r="G1" s="179"/>
    </row>
    <row r="2" spans="1:9" ht="60" x14ac:dyDescent="0.25">
      <c r="A2" s="88" t="s">
        <v>174</v>
      </c>
      <c r="B2" s="88" t="s">
        <v>175</v>
      </c>
      <c r="C2" s="89" t="s">
        <v>176</v>
      </c>
      <c r="D2" s="89" t="s">
        <v>177</v>
      </c>
      <c r="E2" s="89" t="s">
        <v>178</v>
      </c>
      <c r="F2" s="88" t="s">
        <v>184</v>
      </c>
      <c r="G2" s="88" t="s">
        <v>185</v>
      </c>
    </row>
    <row r="3" spans="1:9" ht="42.75" x14ac:dyDescent="0.25">
      <c r="A3" s="85" t="s">
        <v>186</v>
      </c>
      <c r="B3" s="85">
        <v>2</v>
      </c>
      <c r="C3" s="90">
        <v>79.989999999999995</v>
      </c>
      <c r="D3" s="90">
        <v>79.989999999999995</v>
      </c>
      <c r="E3" s="90">
        <v>78.45</v>
      </c>
      <c r="F3" s="84">
        <f>(C3+D3+E3)/3</f>
        <v>79.48</v>
      </c>
      <c r="G3" s="83">
        <f>F3*B3</f>
        <v>158.96</v>
      </c>
      <c r="H3" s="104"/>
    </row>
    <row r="4" spans="1:9" ht="131.25" customHeight="1" x14ac:dyDescent="0.25">
      <c r="A4" s="85" t="s">
        <v>179</v>
      </c>
      <c r="B4" s="85">
        <v>2</v>
      </c>
      <c r="C4" s="91">
        <v>49.9</v>
      </c>
      <c r="D4" s="91">
        <v>49.99</v>
      </c>
      <c r="E4" s="91">
        <v>38</v>
      </c>
      <c r="F4" s="84">
        <f t="shared" ref="F4:F5" si="0">(C4+D4+E4)/3</f>
        <v>45.96</v>
      </c>
      <c r="G4" s="83">
        <f t="shared" ref="G4:G5" si="1">F4*B4</f>
        <v>91.92</v>
      </c>
      <c r="H4" s="104"/>
      <c r="I4" s="104"/>
    </row>
    <row r="5" spans="1:9" ht="137.25" customHeight="1" x14ac:dyDescent="0.25">
      <c r="A5" s="85" t="s">
        <v>180</v>
      </c>
      <c r="B5" s="85">
        <v>1</v>
      </c>
      <c r="C5" s="91">
        <v>25</v>
      </c>
      <c r="D5" s="90">
        <v>32</v>
      </c>
      <c r="E5" s="91">
        <v>39.9</v>
      </c>
      <c r="F5" s="84">
        <f t="shared" si="0"/>
        <v>32.299999999999997</v>
      </c>
      <c r="G5" s="83">
        <f t="shared" si="1"/>
        <v>32.299999999999997</v>
      </c>
      <c r="H5" s="104"/>
    </row>
    <row r="6" spans="1:9" x14ac:dyDescent="0.25">
      <c r="A6" s="92"/>
      <c r="B6" s="92"/>
      <c r="C6" s="92"/>
      <c r="D6" s="92"/>
      <c r="E6" s="89" t="s">
        <v>18</v>
      </c>
      <c r="F6" s="87">
        <f>SUM(F3:F5)</f>
        <v>157.74</v>
      </c>
      <c r="G6" s="87">
        <f>SUM(G3:G5)</f>
        <v>283.18</v>
      </c>
    </row>
    <row r="7" spans="1:9" x14ac:dyDescent="0.25">
      <c r="A7" s="92"/>
      <c r="B7" s="92"/>
      <c r="C7" s="92"/>
      <c r="D7" s="92"/>
      <c r="E7" s="92"/>
      <c r="F7" s="89" t="s">
        <v>181</v>
      </c>
      <c r="G7" s="87">
        <f>G6/12</f>
        <v>23.6</v>
      </c>
    </row>
  </sheetData>
  <mergeCells count="1">
    <mergeCell ref="A1:G1"/>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Modelo Planilha</vt:lpstr>
      <vt:lpstr>Memória de Cálculo</vt:lpstr>
      <vt:lpstr>Modelo Planilha (2)</vt:lpstr>
      <vt:lpstr>Modelo Planilha (3)</vt:lpstr>
      <vt:lpstr>Modelo Planilha após parecer</vt:lpstr>
      <vt:lpstr>Memoria de cálculo revisada</vt:lpstr>
      <vt:lpstr>Uniformes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Marcos Job</dc:creator>
  <cp:lastModifiedBy>RITA DE CASSIA NICOLAU DA SILVA LUZIA</cp:lastModifiedBy>
  <cp:lastPrinted>2024-10-15T17:37:39Z</cp:lastPrinted>
  <dcterms:created xsi:type="dcterms:W3CDTF">2020-11-20T11:31:57Z</dcterms:created>
  <dcterms:modified xsi:type="dcterms:W3CDTF">2024-11-01T12:37:33Z</dcterms:modified>
</cp:coreProperties>
</file>